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activeTab="7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2" l="1"/>
  <c r="D14" i="4" l="1"/>
  <c r="C14" i="4"/>
  <c r="D9" i="4"/>
  <c r="C9" i="4"/>
  <c r="E16" i="1"/>
  <c r="E10" i="1"/>
  <c r="F10" i="6" l="1"/>
  <c r="D10" i="6"/>
  <c r="C10" i="6"/>
  <c r="B10" i="6"/>
  <c r="E10" i="6"/>
  <c r="D37" i="5"/>
  <c r="D13" i="4"/>
  <c r="C13" i="4"/>
  <c r="B14" i="4" l="1"/>
  <c r="Q5" i="24" l="1"/>
  <c r="Q6" i="24"/>
  <c r="Q8" i="24"/>
  <c r="Q12" i="24"/>
  <c r="G20" i="6"/>
  <c r="U13" i="24" s="1"/>
  <c r="Q17" i="24"/>
  <c r="Q20" i="24"/>
  <c r="Q22" i="24"/>
  <c r="G33" i="6"/>
  <c r="U26" i="24" s="1"/>
  <c r="Q28" i="24"/>
  <c r="G37" i="6"/>
  <c r="U30" i="24" s="1"/>
  <c r="Q47" i="24"/>
  <c r="Q50" i="24"/>
  <c r="Q29" i="24"/>
  <c r="Q23" i="24"/>
  <c r="Q15" i="24"/>
  <c r="Q13" i="24"/>
  <c r="Q7" i="24"/>
  <c r="F123" i="6"/>
  <c r="F28" i="6"/>
  <c r="T21" i="24" s="1"/>
  <c r="G29" i="5"/>
  <c r="G30" i="5"/>
  <c r="G31" i="5"/>
  <c r="G32" i="5"/>
  <c r="G33" i="5"/>
  <c r="G36" i="5"/>
  <c r="G35" i="5" s="1"/>
  <c r="U29" i="20" s="1"/>
  <c r="G38" i="5"/>
  <c r="G39" i="5"/>
  <c r="G34" i="5"/>
  <c r="G27" i="5"/>
  <c r="G17" i="5"/>
  <c r="G18" i="5"/>
  <c r="G19" i="5"/>
  <c r="G20" i="5"/>
  <c r="G21" i="5"/>
  <c r="G22" i="5"/>
  <c r="G23" i="5"/>
  <c r="G24" i="5"/>
  <c r="G25" i="5"/>
  <c r="G26" i="5"/>
  <c r="G15" i="5"/>
  <c r="G14" i="5"/>
  <c r="G9" i="5"/>
  <c r="G10" i="5"/>
  <c r="G11" i="5"/>
  <c r="G12" i="5"/>
  <c r="G13" i="5"/>
  <c r="K9" i="3"/>
  <c r="K10" i="3"/>
  <c r="K11" i="3"/>
  <c r="K12" i="3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P4" i="15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37" i="8" s="1"/>
  <c r="U30" i="26" s="1"/>
  <c r="G40" i="8"/>
  <c r="G41" i="8"/>
  <c r="G38" i="8"/>
  <c r="G11" i="8"/>
  <c r="G12" i="8"/>
  <c r="G13" i="8"/>
  <c r="G14" i="8"/>
  <c r="G15" i="8"/>
  <c r="G16" i="8"/>
  <c r="G17" i="8"/>
  <c r="G18" i="8"/>
  <c r="G20" i="8"/>
  <c r="G21" i="8"/>
  <c r="G22" i="8"/>
  <c r="G23" i="8"/>
  <c r="G24" i="8"/>
  <c r="G25" i="8"/>
  <c r="G28" i="8"/>
  <c r="G27" i="8" s="1"/>
  <c r="U20" i="26" s="1"/>
  <c r="G29" i="8"/>
  <c r="G30" i="8"/>
  <c r="G31" i="8"/>
  <c r="G32" i="8"/>
  <c r="G33" i="8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8" i="6"/>
  <c r="P11" i="24" s="1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U43" i="24" s="1"/>
  <c r="G51" i="6"/>
  <c r="G52" i="6"/>
  <c r="G53" i="6"/>
  <c r="G54" i="6"/>
  <c r="U47" i="24" s="1"/>
  <c r="G55" i="6"/>
  <c r="G56" i="6"/>
  <c r="G49" i="6"/>
  <c r="G40" i="6"/>
  <c r="G41" i="6"/>
  <c r="G42" i="6"/>
  <c r="G43" i="6"/>
  <c r="G44" i="6"/>
  <c r="G45" i="6"/>
  <c r="G46" i="6"/>
  <c r="G47" i="6"/>
  <c r="G39" i="6"/>
  <c r="G30" i="6"/>
  <c r="G31" i="6"/>
  <c r="U24" i="24" s="1"/>
  <c r="G32" i="6"/>
  <c r="U25" i="24" s="1"/>
  <c r="G34" i="6"/>
  <c r="U27" i="24" s="1"/>
  <c r="G35" i="6"/>
  <c r="U28" i="24" s="1"/>
  <c r="G36" i="6"/>
  <c r="U29" i="24" s="1"/>
  <c r="G21" i="6"/>
  <c r="G22" i="6"/>
  <c r="U15" i="24" s="1"/>
  <c r="G23" i="6"/>
  <c r="G24" i="6"/>
  <c r="U17" i="24" s="1"/>
  <c r="G25" i="6"/>
  <c r="G26" i="6"/>
  <c r="U19" i="24" s="1"/>
  <c r="G19" i="6"/>
  <c r="U12" i="24" s="1"/>
  <c r="G11" i="6"/>
  <c r="U4" i="24" s="1"/>
  <c r="B7" i="13"/>
  <c r="G14" i="6"/>
  <c r="U7" i="24" s="1"/>
  <c r="G16" i="6"/>
  <c r="U9" i="24" s="1"/>
  <c r="G17" i="6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 s="1"/>
  <c r="R22" i="31" s="1"/>
  <c r="E7" i="13"/>
  <c r="E29" i="13" s="1"/>
  <c r="S22" i="31" s="1"/>
  <c r="F7" i="13"/>
  <c r="F29" i="13" s="1"/>
  <c r="T22" i="31" s="1"/>
  <c r="G7" i="13"/>
  <c r="U2" i="31" s="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C31" i="12" s="1"/>
  <c r="Q23" i="30" s="1"/>
  <c r="D7" i="12"/>
  <c r="D31" i="12" s="1"/>
  <c r="R23" i="30" s="1"/>
  <c r="E7" i="12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/>
  <c r="F36" i="12"/>
  <c r="T27" i="30" s="1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D30" i="11"/>
  <c r="R22" i="29" s="1"/>
  <c r="E8" i="11"/>
  <c r="S2" i="29" s="1"/>
  <c r="E30" i="11"/>
  <c r="S22" i="29" s="1"/>
  <c r="F8" i="11"/>
  <c r="F30" i="11" s="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E12" i="9"/>
  <c r="E9" i="9" s="1"/>
  <c r="S2" i="27" s="1"/>
  <c r="E16" i="9"/>
  <c r="S9" i="27" s="1"/>
  <c r="F12" i="9"/>
  <c r="T5" i="27" s="1"/>
  <c r="F16" i="9"/>
  <c r="F9" i="9"/>
  <c r="T2" i="27" s="1"/>
  <c r="G12" i="9"/>
  <c r="G16" i="9"/>
  <c r="G9" i="9" s="1"/>
  <c r="U2" i="27" s="1"/>
  <c r="Q3" i="27"/>
  <c r="R3" i="27"/>
  <c r="S3" i="27"/>
  <c r="T3" i="27"/>
  <c r="U3" i="27"/>
  <c r="Q4" i="27"/>
  <c r="R4" i="27"/>
  <c r="S4" i="27"/>
  <c r="T4" i="27"/>
  <c r="U4" i="27"/>
  <c r="Q5" i="27"/>
  <c r="S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E28" i="9"/>
  <c r="F24" i="9"/>
  <c r="T16" i="27" s="1"/>
  <c r="F28" i="9"/>
  <c r="T20" i="27" s="1"/>
  <c r="G24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B9" i="9" s="1"/>
  <c r="P2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C37" i="8"/>
  <c r="Q30" i="26" s="1"/>
  <c r="D10" i="8"/>
  <c r="D19" i="8"/>
  <c r="D27" i="8"/>
  <c r="D37" i="8"/>
  <c r="R30" i="26" s="1"/>
  <c r="E10" i="8"/>
  <c r="E19" i="8"/>
  <c r="E27" i="8"/>
  <c r="S20" i="26" s="1"/>
  <c r="E37" i="8"/>
  <c r="S30" i="26" s="1"/>
  <c r="F10" i="8"/>
  <c r="T3" i="26" s="1"/>
  <c r="F19" i="8"/>
  <c r="T12" i="26" s="1"/>
  <c r="F27" i="8"/>
  <c r="F37" i="8"/>
  <c r="Q3" i="26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43" i="8" s="1"/>
  <c r="Q35" i="26" s="1"/>
  <c r="C61" i="8"/>
  <c r="C71" i="8"/>
  <c r="D44" i="8"/>
  <c r="R36" i="26" s="1"/>
  <c r="D53" i="8"/>
  <c r="D61" i="8"/>
  <c r="R53" i="26" s="1"/>
  <c r="D71" i="8"/>
  <c r="E44" i="8"/>
  <c r="E53" i="8"/>
  <c r="E61" i="8"/>
  <c r="E43" i="8" s="1"/>
  <c r="S35" i="26" s="1"/>
  <c r="E71" i="8"/>
  <c r="F44" i="8"/>
  <c r="T36" i="26" s="1"/>
  <c r="F53" i="8"/>
  <c r="F43" i="8" s="1"/>
  <c r="F61" i="8"/>
  <c r="F71" i="8"/>
  <c r="T63" i="26" s="1"/>
  <c r="G44" i="8"/>
  <c r="U36" i="26" s="1"/>
  <c r="G53" i="8"/>
  <c r="U45" i="26" s="1"/>
  <c r="G61" i="8"/>
  <c r="Q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B43" i="8"/>
  <c r="P35" i="26" s="1"/>
  <c r="B10" i="8"/>
  <c r="B19" i="8"/>
  <c r="P12" i="26" s="1"/>
  <c r="B27" i="8"/>
  <c r="B37" i="8"/>
  <c r="B9" i="8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F9" i="7"/>
  <c r="T2" i="25" s="1"/>
  <c r="F19" i="7"/>
  <c r="T3" i="25" s="1"/>
  <c r="E9" i="7"/>
  <c r="E19" i="7"/>
  <c r="S3" i="25" s="1"/>
  <c r="D9" i="7"/>
  <c r="D19" i="7"/>
  <c r="R3" i="25" s="1"/>
  <c r="C9" i="7"/>
  <c r="C19" i="7"/>
  <c r="Q3" i="25" s="1"/>
  <c r="B9" i="7"/>
  <c r="P2" i="25" s="1"/>
  <c r="B19" i="7"/>
  <c r="P3" i="25" s="1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Q138" i="24" s="1"/>
  <c r="C150" i="6"/>
  <c r="Q142" i="24" s="1"/>
  <c r="D85" i="6"/>
  <c r="D93" i="6"/>
  <c r="D103" i="6"/>
  <c r="D113" i="6"/>
  <c r="D123" i="6"/>
  <c r="D133" i="6"/>
  <c r="D146" i="6"/>
  <c r="D150" i="6"/>
  <c r="R142" i="24" s="1"/>
  <c r="E85" i="6"/>
  <c r="E93" i="6"/>
  <c r="S85" i="24" s="1"/>
  <c r="E103" i="6"/>
  <c r="S95" i="24" s="1"/>
  <c r="E113" i="6"/>
  <c r="S105" i="24" s="1"/>
  <c r="E123" i="6"/>
  <c r="E133" i="6"/>
  <c r="S125" i="24" s="1"/>
  <c r="E146" i="6"/>
  <c r="E150" i="6"/>
  <c r="S142" i="24" s="1"/>
  <c r="F85" i="6"/>
  <c r="F93" i="6"/>
  <c r="F103" i="6"/>
  <c r="T95" i="24" s="1"/>
  <c r="F113" i="6"/>
  <c r="T105" i="24" s="1"/>
  <c r="F133" i="6"/>
  <c r="F146" i="6"/>
  <c r="F150" i="6"/>
  <c r="G85" i="6"/>
  <c r="U77" i="24" s="1"/>
  <c r="G93" i="6"/>
  <c r="G103" i="6"/>
  <c r="G113" i="6"/>
  <c r="G123" i="6"/>
  <c r="U115" i="24" s="1"/>
  <c r="G133" i="6"/>
  <c r="G146" i="6"/>
  <c r="G150" i="6"/>
  <c r="U142" i="24" s="1"/>
  <c r="Q77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71" i="6"/>
  <c r="C75" i="6"/>
  <c r="D38" i="6"/>
  <c r="C38" i="6" s="1"/>
  <c r="Q31" i="24" s="1"/>
  <c r="D58" i="6"/>
  <c r="C58" i="6" s="1"/>
  <c r="Q51" i="24" s="1"/>
  <c r="D71" i="6"/>
  <c r="D75" i="6"/>
  <c r="E18" i="6"/>
  <c r="S11" i="24" s="1"/>
  <c r="E28" i="6"/>
  <c r="E38" i="6"/>
  <c r="E48" i="6"/>
  <c r="S41" i="24" s="1"/>
  <c r="E58" i="6"/>
  <c r="S51" i="24" s="1"/>
  <c r="E71" i="6"/>
  <c r="S64" i="24" s="1"/>
  <c r="E75" i="6"/>
  <c r="F18" i="6"/>
  <c r="F38" i="6"/>
  <c r="F48" i="6"/>
  <c r="T41" i="24" s="1"/>
  <c r="F58" i="6"/>
  <c r="F71" i="6"/>
  <c r="F75" i="6"/>
  <c r="T68" i="24" s="1"/>
  <c r="G38" i="6"/>
  <c r="G58" i="6"/>
  <c r="G71" i="6"/>
  <c r="G75" i="6"/>
  <c r="B85" i="6"/>
  <c r="B93" i="6"/>
  <c r="P85" i="24" s="1"/>
  <c r="B103" i="6"/>
  <c r="P95" i="24" s="1"/>
  <c r="B113" i="6"/>
  <c r="B123" i="6"/>
  <c r="P115" i="24" s="1"/>
  <c r="B133" i="6"/>
  <c r="P125" i="24" s="1"/>
  <c r="B146" i="6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T3" i="24"/>
  <c r="R4" i="24"/>
  <c r="S4" i="24"/>
  <c r="T4" i="24"/>
  <c r="R5" i="24"/>
  <c r="S5" i="24"/>
  <c r="T5" i="24"/>
  <c r="S6" i="24"/>
  <c r="T6" i="24"/>
  <c r="R7" i="24"/>
  <c r="S7" i="24"/>
  <c r="T7" i="24"/>
  <c r="R8" i="24"/>
  <c r="S8" i="24"/>
  <c r="T8" i="24"/>
  <c r="Q9" i="24"/>
  <c r="R9" i="24"/>
  <c r="S9" i="24"/>
  <c r="T9" i="24"/>
  <c r="Q10" i="24"/>
  <c r="R10" i="24"/>
  <c r="S10" i="24"/>
  <c r="T10" i="24"/>
  <c r="U10" i="24"/>
  <c r="T11" i="24"/>
  <c r="R12" i="24"/>
  <c r="S12" i="24"/>
  <c r="T12" i="24"/>
  <c r="R13" i="24"/>
  <c r="S13" i="24"/>
  <c r="T13" i="24"/>
  <c r="Q14" i="24"/>
  <c r="R14" i="24"/>
  <c r="S14" i="24"/>
  <c r="T14" i="24"/>
  <c r="U14" i="24"/>
  <c r="R15" i="24"/>
  <c r="S15" i="24"/>
  <c r="T15" i="24"/>
  <c r="Q16" i="24"/>
  <c r="R16" i="24"/>
  <c r="S16" i="24"/>
  <c r="T16" i="24"/>
  <c r="U16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S20" i="24"/>
  <c r="T20" i="24"/>
  <c r="S21" i="24"/>
  <c r="S22" i="24"/>
  <c r="T22" i="24"/>
  <c r="R23" i="24"/>
  <c r="S23" i="24"/>
  <c r="T23" i="24"/>
  <c r="U23" i="24"/>
  <c r="R24" i="24"/>
  <c r="S24" i="24"/>
  <c r="T24" i="24"/>
  <c r="Q25" i="24"/>
  <c r="R25" i="24"/>
  <c r="S25" i="24"/>
  <c r="T25" i="24"/>
  <c r="S26" i="24"/>
  <c r="T26" i="24"/>
  <c r="Q27" i="24"/>
  <c r="R27" i="24"/>
  <c r="S27" i="24"/>
  <c r="T27" i="24"/>
  <c r="R28" i="24"/>
  <c r="S28" i="24"/>
  <c r="T28" i="24"/>
  <c r="R29" i="24"/>
  <c r="S29" i="24"/>
  <c r="T29" i="24"/>
  <c r="R30" i="24"/>
  <c r="S30" i="24"/>
  <c r="T30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S50" i="24"/>
  <c r="T50" i="24"/>
  <c r="R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G45" i="5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/>
  <c r="B45" i="5"/>
  <c r="B54" i="5"/>
  <c r="B65" i="5" s="1"/>
  <c r="P5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P22" i="20" s="1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I23" i="23"/>
  <c r="G6" i="11" s="1"/>
  <c r="H23" i="23"/>
  <c r="G23" i="23"/>
  <c r="E6" i="11" s="1"/>
  <c r="F23" i="23"/>
  <c r="E23" i="23"/>
  <c r="C6" i="11" s="1"/>
  <c r="E6" i="10"/>
  <c r="G5" i="13"/>
  <c r="G5" i="12"/>
  <c r="C11" i="23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W3" i="17" s="1"/>
  <c r="H14" i="3"/>
  <c r="G14" i="3"/>
  <c r="U4" i="17" s="1"/>
  <c r="E14" i="3"/>
  <c r="K8" i="3"/>
  <c r="Y3" i="17" s="1"/>
  <c r="J8" i="3"/>
  <c r="X3" i="17" s="1"/>
  <c r="H8" i="3"/>
  <c r="G8" i="3"/>
  <c r="E8" i="3"/>
  <c r="S3" i="17" s="1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H22" i="2"/>
  <c r="V14" i="16" s="1"/>
  <c r="G22" i="2"/>
  <c r="U14" i="16" s="1"/>
  <c r="F22" i="2"/>
  <c r="E22" i="2"/>
  <c r="S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72" i="4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P6" i="18" s="1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8" i="18"/>
  <c r="P29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 s="1"/>
  <c r="F23" i="1"/>
  <c r="Q71" i="15" s="1"/>
  <c r="F27" i="1"/>
  <c r="F31" i="1"/>
  <c r="Q80" i="15" s="1"/>
  <c r="F38" i="1"/>
  <c r="Q87" i="15" s="1"/>
  <c r="F42" i="1"/>
  <c r="Q91" i="15" s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P76" i="15" s="1"/>
  <c r="E31" i="1"/>
  <c r="P80" i="15" s="1"/>
  <c r="E38" i="1"/>
  <c r="E42" i="1"/>
  <c r="E57" i="1"/>
  <c r="P103" i="15" s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C31" i="1"/>
  <c r="Q26" i="15" s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C64" i="4"/>
  <c r="Q33" i="18" s="1"/>
  <c r="D64" i="4"/>
  <c r="R33" i="18" s="1"/>
  <c r="C63" i="4"/>
  <c r="D63" i="4"/>
  <c r="C55" i="4"/>
  <c r="Q31" i="18" s="1"/>
  <c r="D55" i="4"/>
  <c r="C53" i="4"/>
  <c r="D53" i="4"/>
  <c r="R30" i="18" s="1"/>
  <c r="D48" i="4"/>
  <c r="R26" i="18" s="1"/>
  <c r="C49" i="4"/>
  <c r="D49" i="4"/>
  <c r="R27" i="18" s="1"/>
  <c r="C29" i="4"/>
  <c r="Q15" i="18" s="1"/>
  <c r="D29" i="4"/>
  <c r="R15" i="18" s="1"/>
  <c r="C40" i="4"/>
  <c r="D40" i="4"/>
  <c r="R22" i="18" s="1"/>
  <c r="C37" i="4"/>
  <c r="C44" i="4" s="1"/>
  <c r="D37" i="4"/>
  <c r="C17" i="4"/>
  <c r="Q6" i="18"/>
  <c r="W4" i="17"/>
  <c r="S17" i="16"/>
  <c r="T15" i="16"/>
  <c r="P15" i="16"/>
  <c r="R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Q4" i="16" s="1"/>
  <c r="D9" i="2"/>
  <c r="R4" i="16" s="1"/>
  <c r="E9" i="2"/>
  <c r="F9" i="2"/>
  <c r="T4" i="16" s="1"/>
  <c r="G9" i="2"/>
  <c r="H9" i="2"/>
  <c r="V4" i="16" s="1"/>
  <c r="B9" i="2"/>
  <c r="P4" i="16" s="1"/>
  <c r="Q30" i="18"/>
  <c r="R36" i="18"/>
  <c r="Q9" i="18"/>
  <c r="Q22" i="18"/>
  <c r="Q27" i="18"/>
  <c r="R31" i="18"/>
  <c r="Q32" i="18"/>
  <c r="Q36" i="18"/>
  <c r="R6" i="18"/>
  <c r="Q19" i="18"/>
  <c r="U8" i="16"/>
  <c r="D8" i="2"/>
  <c r="D20" i="2" s="1"/>
  <c r="R13" i="16" s="1"/>
  <c r="F8" i="2"/>
  <c r="F20" i="2" s="1"/>
  <c r="T13" i="16" s="1"/>
  <c r="V3" i="17"/>
  <c r="Q2" i="25"/>
  <c r="U2" i="25"/>
  <c r="G20" i="3" l="1"/>
  <c r="U5" i="17" s="1"/>
  <c r="B74" i="4"/>
  <c r="P39" i="18" s="1"/>
  <c r="P38" i="18"/>
  <c r="Q25" i="18"/>
  <c r="C11" i="4"/>
  <c r="Q5" i="18" s="1"/>
  <c r="A2" i="6"/>
  <c r="A2" i="9"/>
  <c r="A2" i="8"/>
  <c r="A2" i="3"/>
  <c r="A2" i="7"/>
  <c r="A2" i="2"/>
  <c r="A2" i="5"/>
  <c r="A2" i="1"/>
  <c r="A2" i="4"/>
  <c r="E9" i="8"/>
  <c r="D9" i="8"/>
  <c r="R2" i="26" s="1"/>
  <c r="C9" i="8"/>
  <c r="D9" i="9"/>
  <c r="R2" i="27" s="1"/>
  <c r="E31" i="12"/>
  <c r="S23" i="30" s="1"/>
  <c r="B31" i="12"/>
  <c r="P23" i="30" s="1"/>
  <c r="Q2" i="31"/>
  <c r="G16" i="5"/>
  <c r="U10" i="20" s="1"/>
  <c r="D84" i="6"/>
  <c r="R76" i="24" s="1"/>
  <c r="C6" i="10"/>
  <c r="T14" i="16"/>
  <c r="P46" i="20"/>
  <c r="R105" i="24"/>
  <c r="C84" i="6"/>
  <c r="Q76" i="24" s="1"/>
  <c r="T45" i="26"/>
  <c r="G21" i="9"/>
  <c r="E21" i="9"/>
  <c r="C21" i="9"/>
  <c r="U9" i="27"/>
  <c r="S2" i="30"/>
  <c r="T2" i="31"/>
  <c r="G10" i="8"/>
  <c r="B8" i="2"/>
  <c r="K14" i="3"/>
  <c r="G84" i="6"/>
  <c r="U76" i="24" s="1"/>
  <c r="C72" i="4"/>
  <c r="G6" i="10"/>
  <c r="R31" i="24"/>
  <c r="F84" i="6"/>
  <c r="T76" i="24" s="1"/>
  <c r="G19" i="8"/>
  <c r="U12" i="26" s="1"/>
  <c r="G62" i="6"/>
  <c r="U55" i="24" s="1"/>
  <c r="D43" i="8"/>
  <c r="B21" i="9"/>
  <c r="P9" i="27"/>
  <c r="D21" i="9"/>
  <c r="D32" i="10"/>
  <c r="R23" i="28" s="1"/>
  <c r="G30" i="11"/>
  <c r="U22" i="29" s="1"/>
  <c r="B30" i="11"/>
  <c r="P22" i="29" s="1"/>
  <c r="G71" i="8"/>
  <c r="U63" i="26" s="1"/>
  <c r="G28" i="5"/>
  <c r="U22" i="20" s="1"/>
  <c r="F9" i="6"/>
  <c r="F159" i="6" s="1"/>
  <c r="T150" i="24" s="1"/>
  <c r="G37" i="5"/>
  <c r="U31" i="20" s="1"/>
  <c r="E41" i="5"/>
  <c r="S34" i="20" s="1"/>
  <c r="U3" i="17"/>
  <c r="I20" i="3"/>
  <c r="W5" i="17" s="1"/>
  <c r="D29" i="7"/>
  <c r="R4" i="25" s="1"/>
  <c r="E29" i="7"/>
  <c r="S4" i="25" s="1"/>
  <c r="F29" i="7"/>
  <c r="T4" i="25" s="1"/>
  <c r="G29" i="7"/>
  <c r="U4" i="25" s="1"/>
  <c r="G29" i="13"/>
  <c r="U22" i="31" s="1"/>
  <c r="R12" i="26"/>
  <c r="F9" i="8"/>
  <c r="T2" i="26" s="1"/>
  <c r="Q12" i="26"/>
  <c r="S12" i="26"/>
  <c r="C29" i="7"/>
  <c r="Q4" i="25" s="1"/>
  <c r="B29" i="7"/>
  <c r="P4" i="25" s="1"/>
  <c r="H20" i="3"/>
  <c r="V5" i="17" s="1"/>
  <c r="B9" i="6"/>
  <c r="E9" i="6"/>
  <c r="S2" i="24" s="1"/>
  <c r="F41" i="5"/>
  <c r="B57" i="4"/>
  <c r="B59" i="4" s="1"/>
  <c r="G13" i="6"/>
  <c r="U6" i="24" s="1"/>
  <c r="G57" i="6"/>
  <c r="U50" i="24" s="1"/>
  <c r="Q30" i="24"/>
  <c r="R47" i="24"/>
  <c r="R22" i="24"/>
  <c r="R20" i="24"/>
  <c r="R3" i="24"/>
  <c r="G12" i="6"/>
  <c r="G27" i="6"/>
  <c r="U20" i="24" s="1"/>
  <c r="G29" i="6"/>
  <c r="Q26" i="24"/>
  <c r="D48" i="6"/>
  <c r="C48" i="6" s="1"/>
  <c r="Q41" i="24" s="1"/>
  <c r="D28" i="6"/>
  <c r="R50" i="24"/>
  <c r="R26" i="24"/>
  <c r="R6" i="24"/>
  <c r="G15" i="6"/>
  <c r="U8" i="24" s="1"/>
  <c r="Q43" i="24"/>
  <c r="E47" i="1"/>
  <c r="E59" i="1" s="1"/>
  <c r="V4" i="17"/>
  <c r="J20" i="3"/>
  <c r="X5" i="17" s="1"/>
  <c r="S2" i="25"/>
  <c r="E79" i="1"/>
  <c r="P119" i="15" s="1"/>
  <c r="P110" i="15"/>
  <c r="K20" i="3"/>
  <c r="Y5" i="17" s="1"/>
  <c r="Y4" i="17"/>
  <c r="D6" i="11"/>
  <c r="D6" i="10"/>
  <c r="B6" i="11"/>
  <c r="B6" i="10"/>
  <c r="G8" i="2"/>
  <c r="U4" i="16"/>
  <c r="R19" i="18"/>
  <c r="D44" i="4"/>
  <c r="P20" i="15"/>
  <c r="B47" i="1"/>
  <c r="A2" i="13"/>
  <c r="A2" i="12"/>
  <c r="A2" i="11"/>
  <c r="C8" i="2"/>
  <c r="F6" i="11"/>
  <c r="F6" i="10"/>
  <c r="R3" i="16"/>
  <c r="T3" i="16"/>
  <c r="Q110" i="15"/>
  <c r="F79" i="1"/>
  <c r="Q119" i="15" s="1"/>
  <c r="B44" i="4"/>
  <c r="P19" i="18"/>
  <c r="H8" i="2"/>
  <c r="D57" i="4"/>
  <c r="D59" i="4" s="1"/>
  <c r="F47" i="1"/>
  <c r="E8" i="2"/>
  <c r="S4" i="16"/>
  <c r="R32" i="18"/>
  <c r="D72" i="4"/>
  <c r="C47" i="1"/>
  <c r="P95" i="15"/>
  <c r="E20" i="3"/>
  <c r="S5" i="17" s="1"/>
  <c r="S4" i="17"/>
  <c r="B41" i="5"/>
  <c r="E77" i="8"/>
  <c r="S68" i="26" s="1"/>
  <c r="S2" i="26"/>
  <c r="P13" i="27"/>
  <c r="B33" i="9"/>
  <c r="P24" i="27" s="1"/>
  <c r="R13" i="27"/>
  <c r="D33" i="9"/>
  <c r="R24" i="27" s="1"/>
  <c r="P2" i="24"/>
  <c r="G9" i="8"/>
  <c r="U2" i="26" s="1"/>
  <c r="U3" i="26"/>
  <c r="C28" i="6"/>
  <c r="Q21" i="24" s="1"/>
  <c r="R21" i="24"/>
  <c r="Q4" i="24"/>
  <c r="D41" i="5"/>
  <c r="T2" i="24"/>
  <c r="B77" i="8"/>
  <c r="P68" i="26" s="1"/>
  <c r="P2" i="26"/>
  <c r="T35" i="26"/>
  <c r="F77" i="8"/>
  <c r="T68" i="26" s="1"/>
  <c r="C77" i="8"/>
  <c r="Q68" i="26" s="1"/>
  <c r="Q2" i="26"/>
  <c r="C70" i="5"/>
  <c r="U37" i="20"/>
  <c r="G65" i="5"/>
  <c r="U56" i="20" s="1"/>
  <c r="R35" i="26"/>
  <c r="D77" i="8"/>
  <c r="R68" i="26" s="1"/>
  <c r="G33" i="9"/>
  <c r="U24" i="27" s="1"/>
  <c r="U13" i="27"/>
  <c r="E33" i="9"/>
  <c r="S24" i="27" s="1"/>
  <c r="S13" i="27"/>
  <c r="C33" i="9"/>
  <c r="Q24" i="27" s="1"/>
  <c r="Q13" i="27"/>
  <c r="B84" i="6"/>
  <c r="P76" i="24" s="1"/>
  <c r="U105" i="24"/>
  <c r="Q85" i="24"/>
  <c r="E84" i="6"/>
  <c r="S76" i="24" s="1"/>
  <c r="B32" i="10"/>
  <c r="P23" i="28" s="1"/>
  <c r="G32" i="10"/>
  <c r="U23" i="28" s="1"/>
  <c r="E32" i="10"/>
  <c r="S23" i="28" s="1"/>
  <c r="C32" i="10"/>
  <c r="Q23" i="28" s="1"/>
  <c r="T21" i="28"/>
  <c r="R21" i="28"/>
  <c r="D18" i="6"/>
  <c r="T77" i="24"/>
  <c r="R2" i="25"/>
  <c r="G43" i="8"/>
  <c r="R16" i="27"/>
  <c r="U2" i="29"/>
  <c r="Q2" i="29"/>
  <c r="P16" i="27"/>
  <c r="U16" i="27"/>
  <c r="Q16" i="27"/>
  <c r="F21" i="9"/>
  <c r="Q24" i="24"/>
  <c r="U2" i="30"/>
  <c r="Q2" i="30"/>
  <c r="G18" i="6" l="1"/>
  <c r="U11" i="24" s="1"/>
  <c r="P3" i="16"/>
  <c r="B20" i="2"/>
  <c r="P13" i="16" s="1"/>
  <c r="C74" i="4"/>
  <c r="Q39" i="18" s="1"/>
  <c r="Q38" i="18"/>
  <c r="G41" i="5"/>
  <c r="U34" i="20" s="1"/>
  <c r="E70" i="5"/>
  <c r="T34" i="20"/>
  <c r="F70" i="5"/>
  <c r="G48" i="6"/>
  <c r="U41" i="24" s="1"/>
  <c r="G10" i="6"/>
  <c r="U5" i="24"/>
  <c r="R41" i="24"/>
  <c r="G28" i="6"/>
  <c r="U21" i="24" s="1"/>
  <c r="U22" i="24"/>
  <c r="R34" i="20"/>
  <c r="D70" i="5"/>
  <c r="D74" i="4"/>
  <c r="R39" i="18" s="1"/>
  <c r="R38" i="18"/>
  <c r="E20" i="2"/>
  <c r="S13" i="16" s="1"/>
  <c r="S3" i="16"/>
  <c r="Q3" i="16"/>
  <c r="C20" i="2"/>
  <c r="Q13" i="16" s="1"/>
  <c r="P42" i="15"/>
  <c r="B62" i="1"/>
  <c r="P54" i="15" s="1"/>
  <c r="C18" i="6"/>
  <c r="Q11" i="24" s="1"/>
  <c r="R11" i="24"/>
  <c r="D9" i="6"/>
  <c r="E159" i="6"/>
  <c r="S150" i="24" s="1"/>
  <c r="Q95" i="15"/>
  <c r="F59" i="1"/>
  <c r="B11" i="4"/>
  <c r="P25" i="18"/>
  <c r="U3" i="16"/>
  <c r="G20" i="2"/>
  <c r="U13" i="16" s="1"/>
  <c r="G77" i="8"/>
  <c r="U68" i="26" s="1"/>
  <c r="U35" i="26"/>
  <c r="C9" i="6"/>
  <c r="Q3" i="24"/>
  <c r="B159" i="6"/>
  <c r="P150" i="24" s="1"/>
  <c r="E81" i="1"/>
  <c r="P120" i="15" s="1"/>
  <c r="P104" i="15"/>
  <c r="D11" i="4"/>
  <c r="R25" i="18"/>
  <c r="T13" i="27"/>
  <c r="F33" i="9"/>
  <c r="T24" i="27" s="1"/>
  <c r="P34" i="20"/>
  <c r="B70" i="5"/>
  <c r="Q42" i="15"/>
  <c r="C62" i="1"/>
  <c r="Q54" i="15" s="1"/>
  <c r="H20" i="2"/>
  <c r="V13" i="16" s="1"/>
  <c r="V3" i="16"/>
  <c r="G42" i="5" l="1"/>
  <c r="U35" i="20" s="1"/>
  <c r="G70" i="5"/>
  <c r="G9" i="6"/>
  <c r="U3" i="24"/>
  <c r="C159" i="6"/>
  <c r="Q150" i="24" s="1"/>
  <c r="Q2" i="24"/>
  <c r="P5" i="18"/>
  <c r="B8" i="4"/>
  <c r="D159" i="6"/>
  <c r="R150" i="24" s="1"/>
  <c r="R2" i="24"/>
  <c r="D8" i="4"/>
  <c r="R5" i="18"/>
  <c r="F81" i="1"/>
  <c r="Q120" i="15" s="1"/>
  <c r="Q104" i="15"/>
  <c r="G159" i="6" l="1"/>
  <c r="U150" i="24" s="1"/>
  <c r="U2" i="24"/>
  <c r="R2" i="18"/>
  <c r="D21" i="4"/>
  <c r="B21" i="4"/>
  <c r="P2" i="18"/>
  <c r="P12" i="18" l="1"/>
  <c r="B23" i="4"/>
  <c r="R12" i="18"/>
  <c r="D23" i="4"/>
  <c r="B25" i="4" l="1"/>
  <c r="P13" i="18"/>
  <c r="R13" i="18"/>
  <c r="D25" i="4"/>
  <c r="D33" i="4" l="1"/>
  <c r="R18" i="18" s="1"/>
  <c r="R14" i="18"/>
  <c r="B33" i="4"/>
  <c r="P18" i="18" s="1"/>
  <c r="P14" i="18"/>
  <c r="Q3" i="18" l="1"/>
  <c r="C48" i="4"/>
  <c r="C8" i="4"/>
  <c r="Q2" i="18" l="1"/>
  <c r="C21" i="4"/>
  <c r="Q26" i="18"/>
  <c r="C57" i="4"/>
  <c r="C59" i="4" s="1"/>
  <c r="Q12" i="18" l="1"/>
  <c r="C23" i="4"/>
  <c r="C25" i="4" l="1"/>
  <c r="Q13" i="18"/>
  <c r="Q14" i="18" l="1"/>
  <c r="C33" i="4"/>
  <c r="Q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<sst xmlns="http://schemas.openxmlformats.org/spreadsheetml/2006/main" count="4243" uniqueCount="3305">
  <si>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</si>
  <si>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</si>
  <si>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</si>
  <si>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</si>
  <si>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</si>
  <si>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</si>
  <si>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</si>
  <si>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</si>
  <si>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</si>
  <si>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</si>
  <si>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</si>
  <si>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</si>
  <si>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</si>
  <si>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</si>
  <si>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</si>
  <si>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</si>
  <si>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</si>
  <si>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</si>
  <si>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</si>
  <si>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</si>
  <si>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</si>
  <si>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</si>
  <si>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</si>
  <si>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</si>
  <si>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</si>
  <si>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</si>
  <si>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</si>
  <si>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</si>
  <si>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</si>
  <si>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</si>
  <si>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</si>
  <si>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</si>
  <si>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</si>
  <si>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</si>
  <si>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</si>
  <si>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</si>
  <si>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</si>
  <si>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</si>
  <si>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</si>
  <si>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</si>
  <si>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</si>
  <si>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</si>
  <si>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</si>
  <si>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</si>
  <si>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</si>
  <si>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</si>
  <si>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</si>
  <si>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</si>
  <si>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</si>
  <si>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</si>
  <si>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</si>
  <si>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</si>
  <si>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</si>
  <si>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</si>
  <si>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</si>
  <si>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</si>
  <si>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</si>
  <si>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</si>
  <si>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</si>
  <si>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</si>
  <si>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</si>
  <si>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</si>
  <si>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</si>
  <si>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</si>
  <si>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</si>
  <si>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</si>
  <si>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</si>
  <si>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</si>
  <si>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</si>
  <si>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</si>
  <si>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</si>
  <si>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</si>
  <si>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</si>
  <si>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</si>
  <si>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</si>
  <si>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</si>
  <si>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</si>
  <si>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</si>
  <si>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</si>
  <si>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</si>
  <si>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</si>
  <si>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</si>
  <si>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</si>
  <si>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</si>
  <si>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</si>
  <si>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</si>
  <si>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</si>
  <si>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</si>
  <si>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</si>
  <si>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</si>
  <si>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</si>
  <si>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</si>
  <si>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</si>
  <si>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</si>
  <si>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</si>
  <si>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</si>
  <si>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</si>
  <si>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</si>
  <si>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</si>
  <si>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</si>
  <si>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</si>
  <si>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</si>
  <si>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</si>
  <si>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</si>
  <si>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</si>
  <si>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</si>
  <si>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</si>
  <si>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</si>
  <si>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</si>
  <si>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</si>
  <si>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</si>
  <si>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</si>
  <si>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</si>
  <si>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</si>
  <si>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</si>
  <si>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</si>
  <si>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</si>
  <si>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</si>
  <si>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</si>
  <si>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</si>
  <si>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</si>
  <si>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</si>
  <si>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</si>
  <si>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</si>
  <si>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</si>
  <si>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</si>
  <si>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</si>
  <si>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</si>
  <si>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</si>
  <si>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</si>
  <si>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</si>
  <si>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</si>
  <si>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</si>
  <si>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</si>
  <si>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</si>
  <si>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</si>
  <si>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</si>
  <si>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</si>
  <si>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</si>
  <si>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</si>
  <si>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</si>
  <si>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</si>
  <si>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</si>
  <si>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</si>
  <si>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</si>
  <si>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</si>
  <si>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</si>
  <si>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</si>
  <si>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</si>
  <si>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</si>
  <si>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</si>
  <si>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</si>
  <si>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</si>
  <si>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</si>
  <si>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</si>
  <si>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</si>
  <si>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</si>
  <si>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</si>
  <si>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</si>
  <si>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</si>
  <si>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</si>
  <si>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</si>
  <si>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</si>
  <si>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</si>
  <si>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</si>
  <si>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</si>
  <si>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</si>
  <si>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</si>
  <si>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</si>
  <si>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</si>
  <si>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</si>
  <si>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</si>
  <si>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</si>
  <si>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</si>
  <si>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</si>
  <si>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</si>
  <si>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</si>
  <si>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</si>
  <si>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</si>
  <si>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</si>
  <si>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</si>
  <si>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</si>
  <si>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</si>
  <si>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</si>
  <si>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</si>
  <si>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</si>
  <si>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</si>
  <si>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</si>
  <si>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</si>
  <si>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</si>
  <si>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</si>
  <si>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</si>
  <si>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</si>
  <si>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</si>
  <si>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</si>
  <si>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</si>
  <si>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</si>
  <si>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</si>
  <si>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</si>
  <si>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</si>
  <si>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</si>
  <si>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</si>
  <si>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</si>
  <si>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</si>
  <si>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</si>
  <si>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</si>
  <si>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</si>
  <si>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</si>
  <si>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</si>
  <si>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</si>
  <si>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</si>
  <si>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</si>
  <si>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</si>
  <si>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</si>
  <si>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</si>
  <si>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</si>
  <si>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</si>
  <si>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</si>
  <si>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</si>
  <si>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</si>
  <si>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</si>
  <si>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</si>
  <si>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</si>
  <si>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</si>
  <si>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</si>
  <si>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</si>
  <si>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</si>
  <si>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</si>
  <si>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</si>
  <si>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</si>
  <si>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</si>
  <si>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</si>
  <si>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</si>
  <si>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</si>
  <si>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</si>
  <si>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</si>
  <si>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</si>
  <si>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</si>
  <si>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</si>
  <si>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</si>
  <si>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</si>
  <si>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</si>
  <si>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</si>
  <si>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</si>
  <si>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</si>
  <si>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</si>
  <si>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</si>
  <si>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</si>
  <si>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</si>
  <si>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</si>
  <si>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</si>
  <si>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</si>
  <si>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</si>
  <si>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</si>
  <si>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</si>
  <si>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</si>
  <si>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</si>
  <si>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</si>
  <si>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</si>
  <si>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</si>
  <si>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</si>
  <si>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</si>
  <si>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</si>
  <si>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</si>
  <si>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</si>
  <si>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</si>
  <si>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</si>
  <si>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</si>
  <si>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</si>
  <si>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</si>
  <si>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</si>
  <si>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</si>
  <si>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</si>
  <si>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</si>
  <si>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</si>
  <si>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</si>
  <si>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</si>
  <si>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</si>
  <si>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</si>
  <si>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</si>
  <si>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</si>
  <si>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</si>
  <si>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</si>
  <si>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</si>
  <si>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</si>
  <si>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</si>
  <si>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</si>
  <si>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</si>
  <si>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</si>
  <si>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</si>
  <si>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</si>
  <si>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</si>
  <si>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</si>
  <si>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</si>
  <si>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</si>
  <si>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</si>
  <si>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</si>
  <si>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</si>
  <si>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</si>
  <si>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</si>
  <si>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</si>
  <si>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</si>
  <si>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</si>
  <si>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</si>
  <si>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</si>
  <si>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</si>
  <si>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</si>
  <si>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</si>
  <si>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</si>
  <si>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</si>
  <si>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</si>
  <si>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</si>
  <si>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</si>
  <si>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</si>
  <si>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</si>
  <si>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</si>
  <si>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</si>
  <si>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</si>
  <si>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</si>
  <si>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</si>
  <si>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</si>
  <si>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</si>
  <si>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</si>
  <si>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</si>
  <si>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</si>
  <si>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</si>
  <si>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</si>
  <si>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</si>
  <si>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</si>
  <si>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</si>
  <si>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</si>
  <si>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</si>
  <si>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</si>
  <si>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</si>
  <si>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</si>
  <si>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</si>
  <si>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</si>
  <si>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</si>
  <si>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</si>
  <si>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</si>
  <si>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</si>
  <si>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</si>
  <si>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</si>
  <si>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</si>
  <si>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</si>
  <si>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</si>
  <si>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</si>
  <si>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</si>
  <si>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</si>
  <si>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</si>
  <si>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</si>
  <si>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</si>
  <si>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</si>
  <si>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</si>
  <si>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</si>
  <si>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</si>
  <si>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</si>
  <si>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</si>
  <si>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</si>
  <si>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</si>
  <si>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</si>
  <si>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</si>
  <si>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</si>
  <si>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</si>
  <si>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</si>
  <si>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</si>
  <si>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</si>
  <si>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</si>
  <si>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</si>
  <si>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</si>
  <si>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</si>
  <si>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</si>
  <si>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</si>
  <si>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</si>
  <si>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</si>
  <si>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</si>
  <si>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</si>
  <si>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</si>
  <si>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</si>
  <si>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</si>
  <si>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</si>
  <si>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</si>
  <si>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</si>
  <si>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</si>
  <si>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</si>
  <si>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</si>
  <si>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</si>
  <si>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</si>
  <si>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</si>
  <si>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</si>
  <si>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</si>
  <si>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</si>
  <si>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</si>
  <si>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</si>
  <si>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</si>
  <si>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</si>
  <si>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</si>
  <si>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</si>
  <si>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</si>
  <si>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</si>
  <si>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</si>
  <si>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</si>
  <si>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</si>
  <si>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</si>
  <si>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</si>
  <si>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</si>
  <si>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</si>
  <si>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</si>
  <si>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</si>
  <si>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</si>
  <si>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</si>
  <si>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</si>
  <si>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</si>
  <si>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</si>
  <si>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</si>
  <si>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</si>
  <si>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</si>
  <si>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</si>
  <si>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</si>
  <si>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</si>
  <si>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</si>
  <si>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</si>
  <si>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</si>
  <si>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</si>
  <si>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</si>
  <si>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</si>
  <si>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</si>
  <si>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</si>
  <si>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</si>
  <si>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</si>
  <si>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</si>
  <si>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</si>
  <si>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</si>
  <si>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</si>
  <si>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</si>
  <si>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</si>
  <si>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</si>
  <si>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</si>
  <si>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</si>
  <si>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</si>
  <si>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</si>
  <si>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</si>
  <si>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</si>
  <si>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</si>
  <si>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</si>
  <si>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</si>
  <si>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</si>
  <si>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</si>
  <si>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</si>
  <si>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</si>
  <si>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</si>
  <si>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</si>
  <si>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</si>
  <si>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</si>
  <si>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</si>
  <si>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</si>
  <si>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</si>
  <si>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</si>
  <si>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</si>
  <si>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</si>
  <si>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</si>
  <si>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</si>
  <si>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</si>
  <si>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</si>
  <si>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</si>
  <si>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</si>
  <si>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</si>
  <si>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</si>
  <si>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</si>
  <si>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</si>
  <si>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</si>
  <si>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</si>
  <si>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</si>
  <si>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</si>
  <si>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</si>
  <si>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</si>
  <si>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</si>
  <si>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</si>
  <si>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</si>
  <si>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</si>
  <si>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</si>
  <si>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</si>
  <si>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</si>
  <si>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</si>
  <si>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</si>
  <si>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</si>
  <si>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</si>
  <si>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</si>
  <si>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</si>
  <si>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</si>
  <si>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</si>
  <si>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</si>
  <si>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</si>
  <si>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</si>
  <si>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</si>
  <si>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</si>
  <si>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</si>
  <si>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</si>
  <si>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</si>
  <si>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</si>
  <si>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</si>
  <si>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</si>
  <si>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</si>
  <si>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</si>
  <si>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</si>
  <si>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</si>
  <si>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</si>
  <si>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</si>
  <si>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</si>
  <si>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</si>
  <si>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</si>
  <si>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</si>
  <si>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</si>
  <si>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</si>
  <si>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</si>
  <si>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</si>
  <si>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</si>
  <si>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</si>
  <si>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</si>
  <si>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</si>
  <si>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</si>
  <si>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</si>
  <si>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</si>
  <si>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</si>
  <si>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</si>
  <si>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</si>
  <si>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</si>
  <si>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</si>
  <si>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</si>
  <si>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</si>
  <si>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</si>
  <si>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</si>
  <si>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</si>
  <si>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</si>
  <si>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</si>
  <si>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</si>
  <si>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</si>
  <si>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</si>
  <si>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</si>
  <si>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</si>
  <si>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</si>
  <si>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</si>
  <si>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</si>
  <si>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</si>
  <si>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</si>
  <si>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</si>
  <si>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</si>
  <si>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</si>
  <si>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</si>
  <si>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</si>
  <si>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</si>
  <si>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</si>
  <si>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</si>
  <si>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</si>
  <si>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</si>
  <si>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</si>
  <si>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</si>
  <si>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</si>
  <si>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</si>
  <si>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</si>
  <si>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</si>
  <si>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</si>
  <si>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</si>
  <si>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</si>
  <si>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</si>
  <si>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</si>
  <si>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</si>
  <si>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</si>
  <si>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</si>
  <si>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</si>
  <si>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</si>
  <si>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</si>
  <si>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</si>
  <si>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</si>
  <si>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</si>
  <si>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</si>
  <si>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</si>
  <si>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</si>
  <si>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</si>
  <si>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</si>
  <si>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</si>
  <si>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</si>
  <si>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</si>
  <si>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</si>
  <si>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</si>
  <si>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</si>
  <si>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</si>
  <si>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</si>
  <si>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</si>
  <si>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</si>
  <si>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</si>
  <si>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</si>
  <si>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</si>
  <si>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</si>
  <si>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</si>
  <si>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</si>
  <si>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</si>
  <si>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</si>
  <si>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</si>
  <si>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</si>
  <si>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</si>
  <si>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</si>
  <si>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</si>
  <si>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</si>
  <si>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</si>
  <si>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</si>
  <si>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</si>
  <si>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</si>
  <si>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</si>
  <si>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</si>
  <si>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</si>
  <si>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</si>
  <si>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</si>
  <si>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</si>
  <si>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</si>
  <si>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</si>
  <si>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</si>
  <si>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</si>
  <si>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</si>
  <si>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</si>
  <si>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</si>
  <si>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</si>
  <si>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</si>
  <si>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</si>
  <si>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</si>
  <si>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</si>
  <si>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</si>
  <si>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</si>
  <si>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</si>
  <si>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</si>
  <si>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</si>
  <si>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</si>
  <si>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</si>
  <si>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</si>
  <si>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</si>
  <si>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</si>
  <si>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</si>
  <si>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</si>
  <si>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</si>
  <si>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</si>
  <si>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</si>
  <si>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</si>
  <si>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</si>
  <si>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</si>
  <si>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</si>
  <si>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</si>
  <si>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</si>
  <si>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</si>
  <si>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</si>
  <si>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</si>
  <si>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</si>
  <si>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</si>
  <si>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</si>
  <si>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</si>
  <si>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</si>
  <si>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</si>
  <si>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</si>
  <si>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</si>
  <si>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</si>
  <si>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</si>
  <si>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</si>
  <si>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</si>
  <si>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</si>
  <si>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</si>
  <si>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</si>
  <si>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</si>
  <si>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</si>
  <si>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</si>
  <si>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</si>
  <si>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</si>
  <si>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</si>
  <si>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</si>
  <si>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</si>
  <si>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</si>
  <si>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</si>
  <si>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</si>
  <si>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</si>
  <si>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</si>
  <si>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</si>
  <si>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</si>
  <si>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</si>
  <si>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</si>
  <si>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</si>
  <si>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</si>
  <si>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</si>
  <si>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</si>
  <si>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</si>
  <si>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</si>
  <si>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</si>
  <si>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</si>
  <si>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</si>
  <si>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</si>
  <si>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</si>
  <si>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</si>
  <si>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</si>
  <si>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</si>
  <si>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</si>
  <si>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</si>
  <si>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</si>
  <si>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</si>
  <si>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</si>
  <si>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</si>
  <si>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</si>
  <si>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</si>
  <si>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</si>
  <si>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</si>
  <si>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</si>
  <si>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</si>
  <si>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</si>
  <si>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</si>
  <si>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</si>
  <si>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</si>
  <si>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</si>
  <si>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</si>
  <si>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</si>
  <si>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</si>
  <si>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</si>
  <si>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</si>
  <si>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</si>
  <si>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</si>
  <si>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</si>
  <si>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</si>
  <si>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</si>
  <si>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</si>
  <si>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</si>
  <si>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</si>
  <si>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</si>
  <si>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</si>
  <si>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</si>
  <si>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</si>
  <si>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</si>
  <si>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</si>
  <si>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</si>
  <si>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</si>
  <si>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</si>
  <si>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</si>
  <si>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</si>
  <si>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</si>
  <si>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</si>
  <si>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</si>
  <si>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</si>
  <si>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</si>
  <si>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</si>
  <si>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</si>
  <si>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</si>
  <si>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</si>
  <si>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</si>
  <si>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</si>
  <si>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</si>
  <si>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</si>
  <si>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</si>
  <si>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</si>
  <si>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</si>
  <si>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</si>
  <si>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</si>
  <si>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</si>
  <si>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</si>
  <si>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</si>
  <si>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</si>
  <si>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</si>
  <si>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</si>
  <si>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</si>
  <si>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</si>
  <si>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</si>
  <si>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</si>
  <si>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</si>
  <si>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</si>
  <si>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</si>
  <si>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</si>
  <si>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</si>
  <si>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</si>
  <si>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</si>
  <si>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</si>
  <si>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</si>
  <si>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</si>
  <si>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</si>
  <si>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</si>
  <si>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</si>
  <si>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</si>
  <si>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</si>
  <si>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</si>
  <si>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</si>
  <si>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</si>
  <si>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</si>
  <si>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</si>
  <si>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</si>
  <si>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</si>
  <si>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</si>
  <si>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</si>
  <si>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</si>
  <si>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</si>
  <si>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</si>
  <si>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</si>
  <si>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</si>
  <si>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</si>
  <si>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</si>
  <si>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</si>
  <si>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</si>
  <si>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</si>
  <si>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</si>
  <si>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</si>
  <si>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</si>
  <si>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</si>
  <si>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</si>
  <si>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</si>
  <si>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</si>
  <si>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</si>
  <si>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</si>
  <si>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</si>
  <si>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</si>
  <si>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</si>
  <si>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</si>
  <si>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</si>
  <si>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</si>
  <si>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</si>
  <si>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</si>
  <si>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</si>
  <si>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</si>
  <si>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</si>
  <si>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</si>
  <si>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</si>
  <si>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</si>
  <si>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</si>
  <si>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</si>
  <si>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</si>
  <si>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</si>
  <si>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</si>
  <si>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</si>
  <si>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</si>
  <si>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</si>
  <si>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</si>
  <si>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</si>
  <si>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</si>
  <si>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</si>
  <si>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</si>
  <si>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</si>
  <si>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</si>
  <si>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</si>
  <si>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</si>
  <si>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</si>
  <si>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</si>
  <si>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</si>
  <si>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</si>
  <si>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</si>
  <si>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</si>
  <si>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</si>
  <si>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</si>
  <si>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</si>
  <si>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</si>
  <si>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</si>
  <si>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</si>
  <si>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</si>
  <si>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</si>
  <si>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</si>
  <si>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</si>
  <si>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</si>
  <si>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</si>
  <si>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</si>
  <si>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</si>
  <si>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</si>
  <si>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</si>
  <si>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</si>
  <si>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</si>
  <si>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</si>
  <si>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</si>
  <si>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</si>
  <si>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</si>
  <si>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</si>
  <si>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</si>
  <si>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</si>
  <si>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</si>
  <si>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</si>
  <si>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</si>
  <si>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</si>
  <si>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</si>
  <si>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</si>
  <si>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</si>
  <si>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</si>
  <si>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</si>
  <si>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</si>
  <si>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</si>
  <si>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</si>
  <si>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</si>
  <si>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</si>
  <si>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</si>
  <si>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</si>
  <si>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</si>
  <si>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</si>
  <si>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</si>
  <si>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</si>
  <si>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</si>
  <si>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</si>
  <si>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</si>
  <si>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</si>
  <si>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</si>
  <si>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</si>
  <si>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</si>
  <si>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</si>
  <si>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</si>
  <si>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</si>
  <si>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</si>
  <si>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</si>
  <si>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</si>
  <si>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</si>
  <si>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</si>
  <si>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</si>
  <si>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</si>
  <si>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</si>
  <si>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</si>
  <si>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</si>
  <si>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</si>
  <si>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</si>
  <si>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</si>
  <si>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</si>
  <si>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</si>
  <si>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</si>
  <si>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</si>
  <si>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</si>
  <si>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</si>
  <si>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</si>
  <si>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</si>
  <si>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</si>
  <si>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</si>
  <si>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</si>
  <si>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</si>
  <si>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</si>
  <si>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</si>
  <si>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</si>
  <si>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</si>
  <si>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</si>
  <si>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</si>
  <si>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</si>
  <si>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</si>
  <si>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</si>
  <si>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</si>
  <si>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</si>
  <si>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</si>
  <si>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</si>
  <si>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</si>
  <si>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</si>
  <si>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</si>
  <si>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</si>
  <si>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</si>
  <si>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</si>
  <si>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</si>
  <si>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</si>
  <si>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</si>
  <si>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</si>
  <si>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</si>
  <si>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</si>
  <si>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</si>
  <si>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</si>
  <si>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</si>
  <si>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</si>
  <si>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</si>
  <si>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</si>
  <si>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</si>
  <si>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</si>
  <si>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</si>
  <si>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</si>
  <si>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</si>
  <si>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</si>
  <si>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</si>
  <si>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</si>
  <si>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</si>
  <si>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</si>
  <si>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</si>
  <si>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</si>
  <si>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</si>
  <si>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</si>
  <si>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</si>
  <si>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</si>
  <si>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</si>
  <si>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</si>
  <si>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</si>
  <si>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</si>
  <si>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</si>
  <si>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</si>
  <si>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</si>
  <si>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</si>
  <si>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</si>
  <si>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</si>
  <si>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</si>
  <si>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</si>
  <si>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</si>
  <si>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</si>
  <si>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</si>
  <si>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</si>
  <si>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</si>
  <si>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</si>
  <si>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</si>
  <si>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</si>
  <si>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</si>
  <si>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</si>
  <si>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</si>
  <si>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</si>
  <si>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</si>
  <si>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</si>
  <si>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</si>
  <si>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</si>
  <si>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</si>
  <si>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</si>
  <si>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</si>
  <si>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</si>
  <si>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</si>
  <si>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</si>
  <si>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</si>
  <si>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</si>
  <si>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</si>
  <si>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</si>
  <si>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</si>
  <si>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</si>
  <si>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</si>
  <si>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</si>
  <si>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</si>
  <si>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</si>
  <si>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</si>
  <si>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</si>
  <si>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</si>
  <si>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</si>
  <si>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</si>
  <si>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</si>
  <si>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</si>
  <si>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</si>
  <si>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</si>
  <si>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</si>
  <si>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</si>
  <si>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</si>
  <si>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</si>
  <si>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</si>
  <si>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</si>
  <si>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</si>
  <si>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</si>
  <si>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</si>
  <si>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</si>
  <si>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</si>
  <si>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</si>
  <si>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</si>
  <si>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</si>
  <si>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</si>
  <si>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</si>
  <si>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</si>
  <si>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</si>
  <si>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</si>
  <si>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</si>
  <si>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</si>
  <si>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</si>
  <si>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</si>
  <si>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</si>
  <si>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</si>
  <si>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</si>
  <si>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</si>
  <si>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</si>
  <si>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</si>
  <si>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</si>
  <si>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</si>
  <si>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</si>
  <si>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</si>
  <si>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</si>
  <si>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</si>
  <si>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</si>
  <si>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</si>
  <si>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</si>
  <si>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</si>
  <si>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</si>
  <si>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</si>
  <si>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</si>
  <si>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</si>
  <si>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</si>
  <si>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</si>
  <si>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</si>
  <si>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</si>
  <si>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</si>
  <si>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</si>
  <si>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</si>
  <si>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</si>
  <si>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</si>
  <si>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</si>
  <si>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</si>
  <si>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</si>
  <si>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</si>
  <si>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</si>
  <si>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</si>
  <si>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</si>
  <si>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</si>
  <si>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</si>
  <si>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</si>
  <si>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</si>
  <si>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</si>
  <si>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</si>
  <si>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</si>
  <si>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</si>
  <si>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</si>
  <si>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</si>
  <si>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</si>
  <si>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</si>
  <si>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</si>
  <si>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</si>
  <si>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</si>
  <si>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</si>
  <si>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</si>
  <si>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</si>
  <si>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</si>
  <si>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</si>
  <si>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</si>
  <si>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</si>
  <si>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</si>
  <si>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</si>
  <si>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</si>
  <si>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</si>
  <si>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</si>
  <si>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</si>
  <si>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</si>
  <si>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</si>
  <si>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</si>
  <si>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</si>
  <si>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</si>
  <si>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</si>
  <si>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</si>
  <si>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</si>
  <si>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</si>
  <si>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</si>
  <si>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</si>
  <si>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</si>
  <si>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</si>
  <si>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</si>
  <si>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</si>
  <si>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</si>
  <si>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</si>
  <si>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</si>
  <si>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</si>
  <si>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</si>
  <si>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</si>
  <si>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</si>
  <si>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</si>
  <si>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</si>
  <si>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</si>
  <si>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</si>
  <si>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</si>
  <si>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</si>
  <si>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</si>
  <si>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</si>
  <si>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</si>
  <si>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</si>
  <si>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</si>
  <si>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</si>
  <si>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</si>
  <si>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</si>
  <si>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</si>
  <si>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</si>
  <si>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</si>
  <si>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</si>
  <si>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</si>
  <si>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</si>
  <si>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</si>
  <si>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</si>
  <si>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</si>
  <si>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</si>
  <si>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</si>
  <si>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</si>
  <si>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</si>
  <si>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</si>
  <si>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</si>
  <si>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</si>
  <si>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</si>
  <si>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</si>
  <si>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</si>
  <si>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</si>
  <si>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</si>
  <si>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</si>
  <si>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</si>
  <si>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</si>
  <si>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</si>
  <si>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</si>
  <si>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</si>
  <si>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</si>
  <si>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</si>
  <si>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</si>
  <si>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</si>
  <si>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</si>
  <si>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</si>
  <si>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</si>
  <si>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</si>
  <si>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</si>
  <si>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</si>
  <si>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</si>
  <si>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</si>
  <si>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</si>
  <si>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</si>
  <si>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</si>
  <si>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</si>
  <si>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</si>
  <si>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</si>
  <si>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</si>
  <si>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</si>
  <si>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</si>
  <si>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</si>
  <si>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</si>
  <si>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</si>
  <si>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</si>
  <si>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</si>
  <si>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</si>
  <si>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</si>
  <si>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</si>
  <si>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</si>
  <si>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</si>
  <si>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</si>
  <si>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</si>
  <si>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</si>
  <si>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</si>
  <si>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</si>
  <si>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</si>
  <si>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</si>
  <si>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</si>
  <si>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</si>
  <si>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</si>
  <si>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</si>
  <si>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</si>
  <si>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</si>
  <si>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</si>
  <si>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</si>
  <si>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</si>
  <si>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</si>
  <si>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</si>
  <si>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</si>
  <si>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</si>
  <si>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</si>
  <si>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</si>
  <si>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</si>
  <si>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</si>
  <si>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</si>
  <si>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</si>
  <si>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</si>
  <si>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</si>
  <si>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</si>
  <si>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</si>
  <si>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</si>
  <si>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</si>
  <si>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</si>
  <si>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</si>
  <si>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</si>
  <si>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</si>
  <si>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</si>
  <si>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</si>
  <si>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</si>
  <si>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</si>
  <si>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</si>
  <si>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</si>
  <si>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</si>
  <si>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</si>
  <si>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</si>
  <si>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</si>
  <si>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</si>
  <si>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</si>
  <si>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</si>
  <si>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</si>
  <si>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</si>
  <si>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</si>
  <si>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</si>
  <si>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</si>
  <si>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</si>
  <si>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</si>
  <si>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</si>
  <si>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</si>
  <si>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</si>
  <si>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</si>
  <si>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</si>
  <si>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</si>
  <si>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</si>
  <si>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</si>
  <si>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</si>
  <si>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</si>
  <si>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</si>
  <si>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</si>
  <si>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</si>
  <si>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</si>
  <si>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</si>
  <si>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</si>
  <si>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</si>
  <si>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</si>
  <si>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</si>
  <si>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</si>
  <si>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</si>
  <si>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</si>
  <si>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</si>
  <si>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</si>
  <si>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</si>
  <si>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</si>
  <si>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</si>
  <si>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</si>
  <si>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</si>
  <si>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</si>
  <si>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</si>
  <si>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</si>
  <si>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</si>
  <si>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</si>
  <si>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</si>
  <si>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</si>
  <si>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</si>
  <si>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</si>
  <si>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</si>
  <si>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</si>
  <si>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</si>
  <si>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</si>
  <si>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</si>
  <si>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</si>
  <si>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</si>
  <si>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</si>
  <si>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</si>
  <si>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</si>
  <si>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</si>
  <si>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</si>
  <si>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</si>
  <si>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</si>
  <si>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</si>
  <si>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</si>
  <si>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</si>
  <si>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</si>
  <si>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</si>
  <si>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</si>
  <si>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</si>
  <si>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</si>
  <si>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</si>
  <si>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</si>
  <si>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</si>
  <si>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</si>
  <si>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</si>
  <si>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</si>
  <si>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</si>
  <si>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</si>
  <si>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</si>
  <si>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</si>
  <si>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</si>
  <si>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</si>
  <si>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</si>
  <si>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</si>
  <si>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</si>
  <si>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</si>
  <si>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</si>
  <si>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</si>
  <si>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</si>
  <si>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</si>
  <si>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</si>
  <si>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</si>
  <si>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</si>
  <si>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</si>
  <si>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</si>
  <si>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</si>
  <si>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</si>
  <si>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</si>
  <si>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</si>
  <si>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</si>
  <si>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</si>
  <si>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</si>
  <si>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</si>
  <si>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</si>
  <si>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</si>
  <si>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</si>
  <si>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</si>
  <si>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</si>
  <si>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</si>
  <si>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</si>
  <si>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</si>
  <si>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</si>
  <si>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</si>
  <si>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</si>
  <si>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</si>
  <si>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</si>
  <si>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</si>
  <si>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</si>
  <si>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</si>
  <si>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</si>
  <si>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</si>
  <si>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</si>
  <si>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</si>
  <si>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</si>
  <si>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</si>
  <si>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</si>
  <si>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</si>
  <si>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</si>
  <si>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</si>
  <si>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</si>
  <si>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</si>
  <si>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</si>
  <si>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</si>
  <si>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</si>
  <si>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</si>
  <si>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</si>
  <si>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</si>
  <si>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</si>
  <si>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</si>
  <si>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</si>
  <si>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</si>
  <si>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</si>
  <si>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</si>
  <si>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</si>
  <si>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</si>
  <si>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</si>
  <si>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</si>
  <si>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</si>
  <si>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</si>
  <si>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</si>
  <si>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</si>
  <si>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</si>
  <si>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</si>
  <si>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</si>
  <si>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</si>
  <si>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</si>
  <si>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</si>
  <si>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</si>
  <si>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</si>
  <si>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</si>
  <si>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</si>
  <si>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</si>
  <si>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</si>
  <si>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</si>
  <si>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</si>
  <si>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</si>
  <si>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</si>
  <si>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</si>
  <si>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</si>
  <si>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</si>
  <si>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</si>
  <si>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</si>
  <si>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</si>
  <si>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</si>
  <si>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</si>
  <si>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</si>
  <si>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</si>
  <si>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</si>
  <si>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</si>
  <si>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</si>
  <si>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</si>
  <si>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</si>
  <si>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</si>
  <si>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</si>
  <si>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</si>
  <si>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</si>
  <si>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</si>
  <si>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</si>
  <si>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</si>
  <si>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</si>
  <si>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</si>
  <si>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</si>
  <si>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</si>
  <si>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</si>
  <si>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</si>
  <si>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</si>
  <si>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</si>
  <si>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</si>
  <si>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</si>
  <si>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</si>
  <si>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</si>
  <si>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</si>
  <si>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</si>
  <si>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</si>
  <si>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</si>
  <si>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</si>
  <si>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</si>
  <si>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</si>
  <si>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</si>
  <si>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</si>
  <si>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</si>
  <si>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</si>
  <si>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</si>
  <si>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</si>
  <si>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</si>
  <si>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</si>
  <si>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</si>
  <si>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</si>
  <si>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</si>
  <si>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</si>
  <si>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</si>
  <si>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</si>
  <si>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</si>
  <si>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</si>
  <si>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</si>
  <si>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</si>
  <si>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</si>
  <si>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</si>
  <si>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</si>
  <si>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</si>
  <si>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</si>
  <si>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</si>
  <si>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</si>
  <si>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</si>
  <si>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</si>
  <si>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</si>
  <si>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</si>
  <si>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</si>
  <si>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</si>
  <si>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</si>
  <si>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</si>
  <si>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</si>
  <si>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</si>
  <si>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</si>
  <si>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</si>
  <si>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</si>
  <si>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</si>
  <si>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</si>
  <si>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</si>
  <si>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</si>
  <si>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</si>
  <si>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</si>
  <si>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</si>
  <si>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</si>
  <si>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</si>
  <si>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</si>
  <si>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</si>
  <si>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</si>
  <si>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</si>
  <si>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</si>
  <si>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</si>
  <si>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</si>
  <si>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</si>
  <si>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</si>
  <si>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</si>
  <si>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</si>
  <si>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</si>
  <si>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</si>
  <si>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</si>
  <si>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</si>
  <si>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</si>
  <si>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</si>
  <si>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</si>
  <si>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</si>
  <si>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</si>
  <si>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</si>
  <si>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</si>
  <si>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</si>
  <si>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</si>
  <si>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</si>
  <si>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</si>
  <si>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</si>
  <si>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</si>
  <si>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</si>
  <si>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</si>
  <si>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</si>
  <si>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</si>
  <si>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</si>
  <si>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</si>
  <si>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</si>
  <si>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</si>
  <si>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</si>
  <si>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</si>
  <si>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</si>
  <si>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</si>
  <si>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</si>
  <si>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</si>
  <si>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</si>
  <si>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</si>
  <si>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</si>
  <si>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</si>
  <si>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</si>
  <si>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</si>
  <si>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</si>
  <si>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</si>
  <si>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</si>
  <si>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</si>
  <si>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</si>
  <si>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</si>
  <si>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</si>
  <si>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</si>
  <si>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</si>
  <si>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</si>
  <si>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</si>
  <si>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</si>
  <si>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</si>
  <si>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</si>
  <si>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</si>
  <si>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</si>
  <si>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</si>
  <si>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</si>
  <si>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</si>
  <si>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</si>
  <si>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</si>
  <si>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</si>
  <si>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</si>
  <si>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</si>
  <si>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</si>
  <si>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</si>
  <si>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</si>
  <si>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</si>
  <si>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</si>
  <si>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</si>
  <si>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</si>
  <si>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</si>
  <si>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</si>
  <si>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</si>
  <si>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</si>
  <si>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</si>
  <si>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</si>
  <si>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</si>
  <si>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</si>
  <si>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</si>
  <si>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</si>
  <si>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</si>
  <si>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</si>
  <si>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</si>
  <si>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</si>
  <si>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</si>
  <si>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</si>
  <si>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</si>
  <si>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</si>
  <si>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</si>
  <si>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</si>
  <si>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</si>
  <si>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</si>
  <si>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</si>
  <si>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</si>
  <si>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</si>
  <si>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</si>
  <si>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</si>
  <si>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</si>
  <si>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</si>
  <si>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</si>
  <si>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</si>
  <si>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</si>
  <si>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</si>
  <si>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</si>
  <si>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</si>
  <si>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</si>
  <si>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</si>
  <si>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</si>
  <si>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</si>
  <si>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</si>
  <si>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</si>
  <si>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</si>
  <si>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</si>
  <si>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</si>
  <si>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</si>
  <si>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</si>
  <si>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</si>
  <si>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</si>
  <si>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</si>
  <si>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</si>
  <si>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</si>
  <si>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</si>
  <si>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</si>
  <si>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</si>
  <si>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</si>
  <si>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</si>
  <si>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</si>
  <si>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</si>
  <si>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</si>
  <si>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</si>
  <si>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</si>
  <si>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</si>
  <si>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</si>
  <si>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</si>
  <si>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</si>
  <si>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</si>
  <si>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</si>
  <si>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</si>
  <si>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</si>
  <si>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</si>
  <si>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</si>
  <si>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</si>
  <si>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</si>
  <si>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</si>
  <si>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</si>
  <si>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</si>
  <si>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</si>
  <si>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</si>
  <si>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</si>
  <si>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</si>
  <si>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</si>
  <si>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</si>
  <si>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</si>
  <si>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</si>
  <si>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</si>
  <si>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</si>
  <si>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</si>
  <si>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</si>
  <si>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</si>
  <si>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</si>
  <si>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</si>
  <si>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</si>
  <si>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</si>
  <si>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</si>
  <si>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</si>
  <si>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</si>
  <si>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</si>
  <si>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</si>
  <si>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</si>
  <si>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</si>
  <si>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</si>
  <si>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</si>
  <si>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</si>
  <si>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</si>
  <si>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</si>
  <si>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</si>
  <si>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</si>
  <si>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</si>
  <si>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</si>
  <si>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</si>
  <si>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</si>
  <si>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</si>
  <si>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</si>
  <si>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</si>
  <si>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</si>
  <si>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</si>
  <si>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</si>
  <si>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</si>
  <si>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</si>
  <si>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</si>
  <si>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</si>
  <si>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</si>
  <si>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</si>
  <si>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</si>
  <si>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</si>
  <si>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</si>
  <si>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</si>
  <si>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</si>
  <si>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</si>
  <si>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</si>
  <si>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</si>
  <si>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</si>
  <si>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</si>
  <si>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</si>
  <si>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</si>
  <si>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</si>
  <si>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</si>
  <si>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</si>
  <si>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</si>
  <si>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</si>
  <si>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</si>
  <si>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</si>
  <si>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</si>
  <si>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</si>
  <si>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</si>
  <si>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</si>
  <si>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</si>
  <si>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</si>
  <si>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</si>
  <si>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</si>
  <si>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</si>
  <si>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</si>
  <si>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</si>
  <si>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</si>
  <si>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</si>
  <si>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</si>
  <si>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</si>
  <si>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</si>
  <si>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</si>
  <si>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</si>
  <si>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</si>
  <si>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</si>
  <si>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</si>
  <si>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</si>
  <si>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</si>
  <si>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</si>
  <si>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</si>
  <si>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</si>
  <si>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</si>
  <si>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</si>
  <si>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</si>
  <si>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</si>
  <si>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</si>
  <si>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</si>
  <si>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</si>
  <si>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</si>
  <si>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</si>
  <si>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</si>
  <si>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</si>
  <si>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</si>
  <si>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</si>
  <si>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</si>
  <si>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</si>
  <si>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</si>
  <si>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</si>
  <si>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</si>
  <si>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</si>
  <si>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</si>
  <si>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</si>
  <si>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</si>
  <si>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</si>
  <si>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</si>
  <si>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</si>
  <si>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</si>
  <si>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</si>
  <si>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</si>
  <si>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</si>
  <si>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</si>
  <si>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</si>
  <si>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</si>
  <si>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</si>
  <si>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</si>
  <si>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</si>
  <si>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</si>
  <si>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</si>
  <si>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</si>
  <si>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</si>
  <si>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</si>
  <si>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</si>
  <si>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</si>
  <si>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</si>
  <si>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</si>
  <si>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</si>
  <si>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</si>
  <si>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</si>
  <si>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</si>
  <si>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</si>
  <si>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</si>
  <si>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</si>
  <si>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</si>
  <si>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</si>
  <si>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</si>
  <si>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</si>
  <si>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</si>
  <si>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</si>
  <si>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</si>
  <si>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</si>
  <si>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</si>
  <si>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</si>
  <si>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</si>
  <si>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</si>
  <si>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</si>
  <si>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</si>
  <si>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</si>
  <si>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</si>
  <si>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</si>
  <si>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</si>
  <si>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</si>
  <si>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</si>
  <si>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</si>
  <si>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</si>
  <si>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</si>
  <si>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</si>
  <si>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</si>
  <si>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</si>
  <si>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</si>
  <si>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</si>
  <si>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</si>
  <si>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</si>
  <si>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</si>
  <si>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</si>
  <si>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</si>
  <si>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</si>
  <si>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</si>
  <si>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</si>
  <si>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</si>
  <si>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</si>
  <si>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</si>
  <si>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</si>
  <si>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</si>
  <si>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</si>
  <si>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</si>
  <si>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</si>
  <si>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</si>
  <si>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</si>
  <si>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</si>
  <si>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</si>
  <si>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</si>
  <si>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</si>
  <si>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</si>
  <si>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</si>
  <si>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</si>
  <si>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</si>
  <si>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</si>
  <si>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</si>
  <si>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</si>
  <si>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</si>
  <si>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</si>
  <si>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</si>
  <si>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</si>
  <si>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</si>
  <si>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</si>
  <si>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</si>
  <si>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</si>
  <si>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</si>
  <si>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</si>
  <si>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</si>
  <si>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</si>
  <si>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</si>
  <si>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</si>
  <si>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</si>
  <si>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</si>
  <si>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</si>
  <si>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</si>
  <si>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</si>
  <si>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</si>
  <si>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</si>
  <si>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</si>
  <si>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</si>
  <si>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</si>
  <si>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</si>
  <si>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</si>
  <si>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</si>
  <si>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</si>
  <si>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</si>
  <si>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</si>
  <si>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</si>
  <si>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</si>
  <si>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</si>
  <si>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</si>
  <si>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</si>
  <si>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</si>
  <si>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</si>
  <si>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</si>
  <si>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</si>
  <si>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</si>
  <si>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</si>
  <si>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</si>
  <si>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</si>
  <si>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</si>
  <si>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</si>
  <si>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</si>
  <si>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</si>
  <si>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</si>
  <si>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</si>
  <si>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</si>
  <si>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</si>
  <si>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</si>
  <si>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</si>
  <si>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</si>
  <si>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</si>
  <si>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</si>
  <si>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</si>
  <si>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</si>
  <si>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</si>
  <si>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</si>
  <si>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</si>
  <si>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</si>
  <si>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</si>
  <si>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</si>
  <si>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</si>
  <si>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</si>
  <si>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</si>
  <si>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</si>
  <si>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</si>
  <si>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</si>
  <si>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</si>
  <si>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</si>
  <si>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</si>
  <si>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</si>
  <si>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</si>
  <si>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</si>
  <si>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</si>
  <si>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</si>
  <si>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</si>
  <si>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</si>
  <si>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</si>
  <si>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</si>
  <si>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</si>
  <si>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</si>
  <si>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</si>
  <si>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</si>
  <si>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</si>
  <si>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</si>
  <si>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</si>
  <si>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</si>
  <si>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</si>
  <si>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</si>
  <si>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</si>
  <si>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</si>
  <si>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</si>
  <si>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</si>
  <si>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</si>
  <si>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</si>
  <si>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</si>
  <si>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</si>
  <si>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</si>
  <si>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</si>
  <si>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</si>
  <si>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</si>
  <si>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</si>
  <si>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</si>
  <si>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</si>
  <si>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</si>
  <si>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</si>
  <si>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</si>
  <si>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</si>
  <si>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</si>
  <si>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</si>
  <si>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</si>
  <si>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</si>
  <si>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</si>
  <si>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</si>
  <si>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</si>
  <si>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</si>
  <si>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</si>
  <si>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</si>
  <si>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</si>
  <si>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</si>
  <si>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</si>
  <si>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</si>
  <si>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</si>
  <si>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</si>
  <si>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</si>
  <si>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</si>
  <si>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</si>
  <si>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</si>
  <si>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</si>
  <si>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</si>
  <si>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</si>
  <si>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</si>
  <si>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</si>
  <si>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</si>
  <si>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</si>
  <si>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</si>
  <si>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</si>
  <si>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</si>
  <si>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</si>
  <si>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</si>
  <si>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</si>
  <si>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</si>
  <si>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</si>
  <si>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</si>
  <si>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</si>
  <si>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</si>
  <si>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</si>
  <si>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</si>
  <si>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</si>
  <si>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</si>
  <si>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</si>
  <si>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</si>
  <si>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</si>
  <si>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</si>
  <si>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</si>
  <si>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</si>
  <si>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</si>
  <si>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</si>
  <si>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</si>
  <si>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</si>
  <si>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</si>
  <si>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</si>
  <si>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</si>
  <si>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</si>
  <si>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</si>
  <si>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</si>
  <si>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</si>
  <si>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</si>
  <si>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</si>
  <si>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</si>
  <si>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</si>
  <si>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</si>
  <si>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</si>
  <si>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</si>
  <si>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</si>
  <si>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</si>
  <si>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</si>
  <si>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</si>
  <si>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</si>
  <si>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</si>
  <si>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</si>
  <si>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</si>
  <si>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</si>
  <si>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</si>
  <si>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</si>
  <si>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</si>
  <si>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</si>
  <si>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</si>
  <si>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</si>
  <si>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</si>
  <si>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</si>
  <si>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</si>
  <si>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</si>
  <si>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</si>
  <si>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</si>
  <si>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</si>
  <si>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</si>
  <si>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</si>
  <si>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</si>
  <si>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</si>
  <si>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</si>
  <si>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</si>
  <si>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</si>
  <si>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</si>
  <si>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</si>
  <si>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</si>
  <si>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</si>
  <si>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</si>
  <si>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</si>
  <si>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</si>
  <si>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</si>
  <si>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</si>
  <si>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</si>
  <si>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</si>
  <si>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</si>
  <si>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</si>
  <si>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</si>
  <si>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</si>
  <si>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</si>
  <si>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</si>
  <si>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</si>
  <si>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</si>
  <si>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</si>
  <si>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</si>
  <si>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</si>
  <si>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</si>
  <si>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</si>
  <si>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</si>
  <si>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</si>
  <si>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</si>
  <si>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</si>
  <si>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</si>
  <si>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</si>
  <si>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</si>
  <si>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</si>
  <si>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</si>
  <si>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</si>
  <si>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</si>
  <si>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</si>
  <si>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</si>
  <si>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</si>
  <si>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</si>
  <si>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</si>
  <si>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</si>
  <si>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</si>
  <si>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</si>
  <si>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</si>
  <si>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</si>
  <si>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</si>
  <si>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</si>
  <si>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</si>
  <si>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</si>
  <si>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</si>
  <si>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</si>
  <si>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</si>
  <si>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</si>
  <si>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</si>
  <si>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</si>
  <si>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</si>
  <si>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</si>
  <si>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</si>
  <si>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</si>
  <si>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</si>
  <si>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</si>
  <si>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</si>
  <si>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</si>
  <si>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</si>
  <si>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</si>
  <si>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</si>
  <si>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</si>
  <si>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</si>
  <si>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</si>
  <si>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</si>
  <si>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</si>
  <si>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</si>
  <si>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</si>
  <si>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</si>
  <si>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</si>
  <si>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</si>
  <si>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</si>
  <si>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</si>
  <si>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</si>
  <si>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</si>
  <si>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</si>
  <si>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</si>
  <si>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</si>
  <si>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</si>
  <si>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</si>
  <si>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</si>
  <si>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</si>
  <si>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</si>
  <si>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</si>
  <si>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</si>
  <si>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</si>
  <si>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</si>
  <si>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</si>
  <si>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</si>
  <si>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</si>
  <si>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</si>
  <si>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</si>
  <si>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</si>
  <si>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</si>
  <si>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</si>
  <si>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</si>
  <si>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</si>
  <si>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</si>
  <si>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</si>
  <si>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</si>
  <si>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</si>
  <si>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</si>
  <si>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</si>
  <si>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</si>
  <si>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</si>
  <si>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</si>
  <si>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</si>
  <si>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</si>
  <si>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</si>
  <si>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</si>
  <si>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</si>
  <si>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</si>
  <si>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</si>
  <si>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</si>
  <si>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</si>
  <si>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</si>
  <si>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</si>
  <si>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</si>
  <si>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</si>
  <si>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</si>
  <si>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</si>
  <si>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</si>
  <si>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</si>
  <si>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</si>
  <si>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</si>
  <si>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</si>
  <si>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</si>
  <si>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</si>
  <si>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</si>
  <si>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</si>
  <si>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</si>
  <si>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</si>
  <si>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</si>
  <si>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</si>
  <si>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</si>
  <si>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</si>
  <si>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</si>
  <si>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</si>
  <si>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</si>
  <si>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</si>
  <si>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</si>
  <si>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</si>
  <si>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</si>
  <si>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</si>
  <si>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</si>
  <si>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</si>
  <si>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</si>
  <si>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</si>
  <si>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</si>
  <si>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</si>
  <si>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</si>
  <si>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</si>
  <si>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</si>
  <si>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</si>
  <si>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</si>
  <si>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</si>
  <si>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</si>
  <si>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</si>
  <si>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</si>
  <si>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</si>
  <si>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</si>
  <si>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</si>
  <si>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</si>
  <si>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</si>
  <si>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</si>
  <si>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</si>
  <si>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</si>
  <si>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</si>
  <si>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</si>
  <si>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</si>
  <si>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</si>
  <si>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</si>
  <si>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</si>
  <si>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</si>
  <si>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</si>
  <si>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</si>
  <si>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</si>
  <si>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</si>
  <si>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</si>
  <si>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</si>
  <si>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</si>
  <si>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</si>
  <si>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</si>
  <si>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</si>
  <si>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</si>
  <si>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</si>
  <si>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</si>
  <si>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</si>
  <si>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</si>
  <si>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</si>
  <si>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</si>
  <si>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</si>
  <si>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</si>
  <si>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</si>
  <si>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</si>
  <si>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</si>
  <si>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</si>
  <si>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</si>
  <si>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</si>
  <si>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</si>
  <si>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</si>
  <si>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</si>
  <si>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</si>
  <si>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</si>
  <si>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</si>
  <si>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</si>
  <si>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</si>
  <si>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</si>
  <si>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</si>
  <si>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</si>
  <si>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</si>
  <si>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</si>
  <si>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</si>
  <si>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</si>
  <si>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</si>
  <si>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</si>
  <si>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</si>
  <si>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</si>
  <si>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</si>
  <si>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</si>
  <si>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</si>
  <si>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</si>
  <si>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</si>
  <si>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</si>
  <si>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</si>
  <si>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</si>
  <si>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</si>
  <si>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</si>
  <si>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</si>
  <si>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</si>
  <si>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</si>
  <si>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</si>
  <si>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</si>
  <si>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</si>
  <si>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</si>
  <si>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</si>
  <si>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</si>
  <si>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</si>
  <si>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</si>
  <si>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</si>
  <si>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</si>
  <si>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</si>
  <si>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</si>
  <si>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</si>
  <si>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</si>
  <si>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</si>
  <si>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</si>
  <si>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</si>
  <si>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</si>
  <si>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</si>
  <si>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</si>
  <si>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</si>
  <si>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</si>
  <si>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</si>
  <si>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</si>
  <si>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</si>
  <si>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</si>
  <si>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</si>
  <si>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</si>
  <si>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</si>
  <si>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</si>
  <si>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</si>
  <si>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</si>
  <si>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</si>
  <si>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</si>
  <si>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</si>
  <si>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</si>
  <si>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</si>
  <si>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</si>
  <si>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</si>
  <si>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</si>
  <si>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</si>
  <si>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</si>
  <si>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</si>
  <si>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</si>
  <si>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</si>
  <si>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</si>
  <si>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</si>
  <si>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</si>
  <si>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</si>
  <si>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</si>
  <si>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</si>
  <si>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</si>
  <si>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</si>
  <si>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</si>
  <si>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</si>
  <si>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</si>
  <si>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</si>
  <si>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</si>
  <si>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</si>
  <si>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</si>
  <si>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</si>
  <si>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</si>
  <si>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</si>
  <si>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</si>
  <si>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</si>
  <si>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</si>
  <si>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</si>
  <si>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</si>
  <si>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</si>
  <si>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</si>
  <si>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</si>
  <si>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</si>
  <si>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</si>
  <si>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</si>
  <si>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</si>
  <si>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</si>
  <si>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</si>
  <si>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</si>
  <si>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</si>
  <si>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</si>
  <si>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</si>
  <si>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</si>
  <si>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</si>
  <si>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</si>
  <si>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</si>
  <si>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</si>
  <si>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</si>
  <si>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</si>
  <si>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</si>
  <si>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</si>
  <si>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</si>
  <si>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</si>
  <si>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</si>
  <si>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</si>
  <si>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</si>
  <si>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</si>
  <si>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</si>
  <si>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</si>
  <si>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</si>
  <si>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</si>
  <si>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</si>
  <si>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</si>
  <si>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</si>
  <si>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</si>
  <si>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</si>
  <si>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</si>
  <si>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</si>
  <si>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</si>
  <si>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</si>
  <si>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</si>
  <si>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</si>
  <si>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</si>
  <si>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</si>
  <si>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</si>
  <si>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</si>
  <si>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</si>
  <si>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</si>
  <si>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</si>
  <si>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</si>
  <si>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</si>
  <si>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</si>
  <si>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</si>
  <si>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</si>
  <si>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</si>
  <si>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</si>
  <si>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</si>
  <si>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</si>
  <si>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</si>
  <si>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</si>
  <si>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</si>
  <si>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</si>
  <si>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</si>
  <si>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</si>
  <si>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</si>
  <si>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</si>
  <si>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</si>
  <si>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</si>
  <si>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</si>
  <si>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</si>
  <si>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</si>
  <si>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</si>
  <si>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</si>
  <si>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</si>
  <si>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</si>
  <si>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</si>
  <si>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</si>
  <si>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</si>
  <si>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</si>
  <si>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</si>
  <si>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</si>
  <si>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</si>
  <si>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</si>
  <si>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</si>
  <si>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</si>
  <si>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</si>
  <si>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</si>
  <si>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</si>
  <si>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</si>
  <si>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</si>
  <si>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</si>
  <si>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</si>
  <si>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</si>
  <si>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</si>
  <si>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</si>
  <si>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</si>
  <si>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</si>
  <si>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</si>
  <si>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</si>
  <si>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</si>
  <si>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</si>
  <si>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</si>
  <si>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</si>
  <si>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</si>
  <si>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</si>
  <si>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</si>
  <si>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</si>
  <si>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</si>
  <si>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</si>
  <si>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</si>
  <si>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</si>
  <si>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</si>
  <si>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</si>
  <si>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</si>
  <si>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</si>
  <si>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</si>
  <si>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</si>
  <si>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</si>
  <si>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</si>
  <si>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</si>
  <si>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</si>
  <si>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</si>
  <si>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</si>
  <si>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</si>
  <si>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</si>
  <si>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</si>
  <si>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</si>
  <si>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</si>
  <si>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</si>
  <si>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</si>
  <si>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</si>
  <si>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</si>
  <si>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</si>
  <si>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</si>
  <si>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</si>
  <si>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</si>
  <si>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</si>
  <si>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</si>
  <si>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</si>
  <si>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</si>
  <si>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</si>
  <si>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</si>
  <si>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</si>
  <si>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</si>
  <si>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</si>
  <si>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</si>
  <si>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</si>
  <si>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</si>
  <si>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</si>
  <si>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</si>
  <si>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</si>
  <si>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</si>
  <si>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</si>
  <si>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</si>
  <si>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</si>
  <si>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</si>
  <si>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</si>
  <si>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</si>
  <si>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</si>
  <si>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</si>
  <si>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</si>
  <si>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</si>
  <si>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</si>
  <si>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</si>
  <si>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</si>
  <si>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</si>
  <si>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</si>
  <si>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</si>
  <si>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</si>
  <si>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</si>
  <si>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</si>
  <si>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</si>
  <si>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</si>
  <si>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</si>
  <si>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</si>
  <si>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</si>
  <si>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</si>
  <si>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</si>
  <si>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</si>
  <si>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</si>
  <si>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</si>
  <si>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</si>
  <si>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</si>
  <si>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</si>
  <si>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</si>
  <si>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</si>
  <si>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</si>
  <si>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</si>
  <si>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</si>
  <si>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</si>
  <si>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</si>
  <si>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</si>
  <si>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</si>
  <si>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</si>
  <si>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</si>
  <si>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</si>
  <si>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</si>
  <si>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</si>
  <si>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</si>
  <si>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</si>
  <si>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</si>
  <si>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</si>
  <si>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</si>
  <si>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</si>
  <si>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</si>
  <si>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</si>
  <si>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</si>
  <si>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</si>
  <si>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</si>
  <si>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</si>
  <si>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</si>
  <si>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</si>
  <si>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</si>
  <si>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</si>
  <si>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</si>
  <si>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</si>
  <si>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</si>
  <si>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</si>
  <si>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</si>
  <si>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</si>
  <si>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</si>
  <si>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</si>
  <si>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</si>
  <si>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</si>
  <si>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</si>
  <si>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</si>
  <si>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</si>
  <si>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</si>
  <si>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</si>
  <si>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</si>
  <si>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</si>
  <si>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</si>
  <si>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</si>
  <si>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</si>
  <si>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</si>
  <si>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</si>
  <si>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</si>
  <si>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</si>
  <si>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</si>
  <si>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</si>
  <si>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</si>
  <si>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</si>
  <si>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</si>
  <si>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</si>
  <si>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</si>
  <si>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</si>
  <si>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</si>
  <si>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</si>
  <si>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</si>
  <si>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</si>
  <si>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</si>
  <si>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</si>
  <si>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</si>
  <si>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</si>
  <si>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</si>
  <si>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</si>
  <si>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</si>
  <si>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</si>
  <si>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</si>
  <si>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</si>
  <si>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</si>
  <si>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</si>
  <si>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</si>
  <si>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</si>
  <si>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</si>
  <si>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</si>
  <si>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</si>
  <si>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</si>
  <si>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</si>
  <si>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</si>
  <si>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</si>
  <si>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</si>
  <si>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</si>
  <si>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</si>
  <si>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</si>
  <si>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</si>
  <si>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</si>
  <si>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</si>
  <si>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</si>
  <si>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</si>
  <si>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</si>
  <si>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</si>
  <si>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</si>
  <si>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</si>
  <si>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</si>
  <si>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</si>
  <si>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</si>
  <si>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</si>
  <si>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</si>
  <si>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</si>
  <si>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</si>
  <si>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</si>
  <si>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</si>
  <si>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</si>
  <si>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</si>
  <si>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</si>
  <si>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</si>
  <si>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</si>
  <si>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</si>
  <si>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</si>
  <si>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</si>
  <si>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</si>
  <si>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</si>
  <si>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</si>
  <si>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</si>
  <si>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</si>
  <si>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</si>
  <si>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</si>
  <si>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</si>
  <si>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</si>
  <si>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</si>
  <si>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</si>
  <si>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</si>
  <si>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</si>
  <si>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</si>
  <si>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</si>
  <si>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</si>
  <si>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</si>
  <si>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</si>
  <si>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</si>
  <si>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</si>
  <si>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</si>
  <si>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</si>
  <si>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</si>
  <si>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</si>
  <si>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</si>
  <si>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</si>
  <si>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</si>
  <si>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</si>
  <si>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</si>
  <si>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</si>
  <si>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</si>
  <si>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</si>
  <si>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</si>
  <si>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</si>
  <si>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</si>
  <si>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</si>
  <si>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</si>
  <si>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</si>
  <si>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</si>
  <si>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</si>
  <si>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</si>
  <si>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</si>
  <si>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</si>
  <si>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</si>
  <si>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</si>
  <si>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</si>
  <si>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</si>
  <si>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</si>
  <si>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</si>
  <si>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</si>
  <si>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</si>
  <si>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</si>
  <si>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</si>
  <si>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</si>
  <si>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</si>
  <si>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</si>
  <si>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</si>
  <si>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</si>
  <si>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</si>
  <si>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</si>
  <si>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</si>
  <si>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</si>
  <si>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</si>
  <si>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</si>
  <si>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</si>
  <si>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</si>
  <si>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</si>
  <si>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</si>
  <si>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</si>
  <si>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</si>
  <si>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</si>
  <si>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</si>
  <si>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</si>
  <si>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</si>
  <si>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</si>
  <si>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</si>
  <si>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</si>
  <si>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</si>
  <si>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</si>
  <si>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</si>
  <si>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</si>
  <si>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</si>
  <si>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</si>
  <si>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</si>
  <si>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</si>
  <si>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</si>
  <si>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</si>
  <si>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</si>
  <si>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</si>
  <si>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</si>
  <si>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</si>
  <si>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</si>
  <si>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</si>
  <si>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</si>
  <si>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</si>
  <si>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</si>
  <si>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</si>
  <si>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</si>
  <si>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</si>
  <si>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</si>
  <si>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</si>
  <si>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</si>
  <si>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</si>
  <si>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</si>
  <si>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</si>
  <si>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</si>
  <si>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</si>
  <si>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</si>
  <si>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</si>
  <si>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</si>
  <si>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</si>
  <si>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</si>
  <si>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</si>
  <si>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</si>
  <si>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</si>
  <si>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</si>
  <si>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</si>
  <si>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</si>
  <si>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</si>
  <si>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</si>
  <si>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</si>
  <si>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</si>
  <si>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</si>
  <si>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</si>
  <si>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</si>
  <si>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</si>
  <si>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</si>
  <si>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</si>
  <si>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</si>
  <si>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</si>
  <si>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</si>
  <si>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</si>
  <si>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</si>
  <si>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</si>
  <si>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</si>
  <si>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</si>
  <si>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</si>
  <si>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</si>
  <si>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</si>
  <si>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</si>
  <si>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</si>
  <si>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</si>
  <si>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</si>
  <si>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</si>
  <si>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</si>
  <si>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</si>
  <si>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</si>
  <si>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</si>
  <si>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</si>
  <si>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</si>
  <si>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</si>
  <si>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</si>
  <si>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</si>
  <si>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</si>
  <si>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</si>
  <si>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</si>
  <si>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</si>
  <si>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</si>
  <si>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</si>
  <si>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</si>
  <si>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</si>
  <si>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</si>
  <si>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</si>
  <si>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</si>
  <si>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</si>
  <si>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</si>
  <si>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</si>
  <si>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</si>
  <si>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</si>
  <si>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</si>
  <si>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</si>
  <si>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</si>
  <si>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</si>
  <si>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</si>
  <si>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</si>
  <si>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</si>
  <si>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</si>
  <si>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</si>
  <si>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</si>
  <si>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</si>
  <si>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</si>
  <si>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</si>
  <si>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</si>
  <si>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</si>
  <si>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</si>
  <si>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</si>
  <si>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</si>
  <si>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</si>
  <si>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</si>
  <si>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</si>
  <si>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</si>
  <si>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</si>
  <si>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</si>
  <si>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</si>
  <si>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</si>
  <si>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</si>
  <si>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</si>
  <si>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</si>
  <si>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</si>
  <si>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</si>
  <si>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</si>
  <si>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</si>
  <si>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</si>
  <si>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</si>
  <si>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</si>
  <si>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</si>
  <si>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</si>
  <si>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</si>
  <si>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</si>
  <si>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</si>
  <si>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</si>
  <si>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</si>
  <si>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</si>
  <si>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</si>
  <si>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</si>
  <si>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</si>
  <si>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</si>
  <si>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</si>
  <si>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</si>
  <si>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</si>
  <si>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</si>
  <si>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</si>
  <si>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</si>
  <si>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</si>
  <si>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</si>
  <si>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</si>
  <si>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</si>
  <si>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</si>
  <si>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</si>
  <si>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</si>
  <si>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</si>
  <si>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</si>
  <si>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</si>
  <si>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</si>
  <si>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</si>
  <si>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</si>
  <si>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</si>
  <si>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</si>
  <si>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</si>
  <si>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</si>
  <si>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</si>
  <si>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</si>
  <si>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</si>
  <si>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</si>
  <si>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</si>
  <si>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</si>
  <si>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</si>
  <si>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</si>
  <si>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</si>
  <si>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</si>
  <si>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</si>
  <si>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</si>
  <si>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</si>
  <si>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</si>
  <si>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</si>
  <si>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</si>
  <si>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</si>
  <si>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</si>
  <si>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</si>
  <si>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</si>
  <si>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</si>
  <si>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</si>
  <si>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</si>
  <si>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</si>
  <si>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</si>
  <si>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</si>
  <si>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</si>
  <si>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</si>
  <si>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</si>
  <si>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</si>
  <si>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</si>
  <si>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</si>
  <si>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</si>
  <si>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</si>
  <si>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</si>
  <si>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</si>
  <si>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</si>
  <si>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</si>
  <si>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</si>
  <si>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</si>
  <si>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</si>
  <si>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</si>
  <si>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</si>
  <si>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</si>
  <si>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</si>
  <si>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</si>
  <si>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</si>
  <si>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</si>
  <si>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</si>
  <si>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</si>
  <si>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</si>
  <si>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</si>
  <si>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</si>
  <si>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</si>
  <si>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</si>
  <si>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</si>
  <si>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</si>
  <si>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</si>
  <si>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</si>
  <si>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</si>
  <si>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</si>
  <si>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</si>
  <si>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</si>
  <si>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</si>
  <si>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</si>
  <si>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</si>
  <si>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</si>
  <si>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</si>
  <si>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</si>
  <si>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</si>
  <si>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</si>
  <si>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</si>
  <si>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</si>
  <si>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</si>
  <si>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</si>
  <si>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</si>
  <si>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</si>
  <si>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</si>
  <si>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</si>
  <si>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</si>
  <si>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</si>
  <si>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</si>
  <si>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</si>
  <si>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</si>
  <si>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</si>
  <si>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</si>
  <si>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</si>
  <si>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</si>
  <si>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</si>
  <si>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</si>
  <si>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</si>
  <si>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</si>
  <si>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</si>
  <si>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</si>
  <si>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</si>
  <si>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</si>
  <si>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</si>
  <si>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</si>
  <si>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</si>
  <si>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</si>
  <si>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</si>
  <si>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</si>
  <si>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</si>
  <si>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</si>
  <si>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</si>
  <si>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</si>
  <si>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</si>
  <si>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</si>
  <si>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</si>
  <si>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</si>
  <si>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</si>
  <si>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</si>
  <si>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</si>
  <si>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</si>
  <si>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</si>
  <si>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</si>
  <si>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</si>
  <si>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</si>
  <si>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</si>
  <si>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</si>
  <si>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</si>
  <si>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</si>
  <si>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</si>
  <si>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</si>
  <si>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</si>
  <si>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</si>
  <si>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</si>
  <si>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</si>
  <si>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</si>
  <si>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</si>
  <si>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</si>
  <si>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</si>
  <si>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</si>
  <si>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</si>
  <si>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</si>
  <si>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</si>
  <si>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</si>
  <si>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</si>
  <si>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</si>
  <si>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</si>
  <si>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</si>
  <si>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</si>
  <si>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</si>
  <si>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</si>
  <si>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</si>
  <si>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</si>
  <si>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</si>
  <si>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</si>
  <si>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</si>
  <si>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</si>
  <si>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</si>
  <si>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</si>
  <si>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</si>
  <si>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</si>
  <si>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</si>
  <si>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</si>
  <si>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</si>
  <si>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</si>
  <si>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</si>
  <si>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</si>
  <si>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</si>
  <si>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</si>
  <si>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</si>
  <si>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</si>
  <si>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</si>
  <si>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</si>
  <si>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</si>
  <si>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</si>
  <si>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</si>
  <si>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</si>
  <si>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</si>
  <si>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</si>
  <si>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</si>
  <si>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</si>
  <si>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</si>
  <si>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</si>
  <si>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</si>
  <si>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</si>
  <si>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</si>
  <si>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</si>
  <si>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</si>
  <si>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</si>
  <si>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</si>
  <si>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</si>
  <si>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</si>
  <si>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</si>
  <si>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</si>
  <si>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</si>
  <si>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</si>
  <si>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</si>
  <si>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</si>
  <si>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</si>
  <si>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</si>
  <si>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</si>
  <si>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</si>
  <si>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</si>
  <si>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</si>
  <si>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</si>
  <si>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</si>
  <si>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</si>
  <si>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</si>
  <si>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</si>
  <si>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</si>
  <si>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</si>
  <si>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</si>
  <si>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</si>
  <si>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</si>
  <si>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</si>
  <si>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</si>
  <si>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</si>
  <si>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</si>
  <si>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</si>
  <si>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</si>
  <si>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</si>
  <si>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</si>
  <si>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</si>
  <si>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</si>
  <si>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</si>
  <si>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</si>
  <si>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</si>
  <si>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</si>
  <si>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</si>
  <si>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</si>
  <si>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</si>
  <si>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</si>
  <si>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</si>
  <si>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</si>
  <si>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</si>
  <si>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</si>
  <si>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</si>
  <si>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</si>
  <si>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</si>
  <si>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</si>
  <si>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</si>
  <si>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</si>
  <si>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</si>
  <si>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</si>
  <si>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</si>
  <si>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</si>
  <si>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</si>
  <si>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</si>
  <si>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</si>
  <si>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</si>
  <si>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</si>
  <si>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</si>
  <si>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</si>
  <si>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</si>
  <si>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</si>
  <si>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</si>
  <si>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</si>
  <si>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</si>
  <si>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</si>
  <si>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</si>
  <si>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</si>
  <si>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</si>
  <si>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</si>
  <si>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</si>
  <si>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</si>
  <si>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</si>
  <si>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</si>
  <si>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</si>
  <si>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</si>
  <si>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</si>
  <si>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</si>
  <si>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</si>
  <si>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</si>
  <si>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</si>
  <si>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</si>
  <si>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</si>
  <si>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</si>
  <si>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</si>
  <si>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</si>
  <si>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</si>
  <si>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</si>
  <si>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</si>
  <si>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</si>
  <si>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</si>
  <si>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</si>
  <si>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</si>
  <si>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</si>
  <si>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</si>
  <si>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</si>
  <si>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</si>
  <si>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</si>
  <si>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</si>
  <si>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</si>
  <si>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</si>
  <si>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</si>
  <si>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</si>
  <si>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</si>
  <si>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</si>
  <si>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</si>
  <si>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</si>
  <si>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</si>
  <si>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</si>
  <si>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</si>
  <si>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</si>
  <si>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</si>
  <si>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</si>
  <si>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</si>
  <si>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</si>
  <si>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</si>
  <si>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</si>
  <si>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</si>
  <si>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</si>
  <si>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</si>
  <si>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</si>
  <si>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</si>
  <si>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</si>
  <si>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</si>
  <si>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</si>
  <si>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</si>
  <si>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</si>
  <si>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</si>
  <si>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</si>
  <si>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</si>
  <si>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</si>
  <si>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</si>
  <si>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</si>
  <si>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</si>
  <si>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</si>
  <si>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</si>
  <si>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</si>
  <si>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</si>
  <si>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</si>
  <si>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</si>
  <si>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</si>
  <si>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</si>
  <si>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</si>
  <si>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</si>
  <si>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</si>
  <si>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</si>
  <si>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</si>
  <si>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</si>
  <si>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</si>
  <si>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</si>
  <si>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</si>
  <si>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</si>
  <si>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</si>
  <si>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</si>
  <si>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</si>
  <si>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</si>
  <si>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</si>
  <si>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</si>
  <si>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</si>
  <si>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</si>
  <si>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</si>
  <si>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</si>
  <si>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</si>
  <si>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</si>
  <si>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</si>
  <si>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</si>
  <si>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</si>
  <si>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</si>
  <si>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</si>
  <si>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</si>
  <si>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</si>
  <si>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</si>
  <si>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</si>
  <si>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</si>
  <si>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</si>
  <si>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</si>
  <si>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</si>
  <si>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</si>
  <si>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</si>
  <si>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</si>
  <si>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</si>
  <si>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</si>
  <si>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</si>
  <si>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</si>
  <si>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</si>
  <si>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</si>
  <si>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</si>
  <si>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</si>
  <si>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</si>
  <si>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</si>
  <si>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</si>
  <si>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</si>
  <si>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</si>
  <si>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</si>
  <si>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</si>
  <si>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</si>
  <si>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</si>
  <si>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</si>
  <si>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</si>
  <si>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</si>
  <si>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</si>
  <si>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</si>
  <si>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LAS MUJERES</t>
  </si>
  <si>
    <t>Al 31 de diciembre de 2017 y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</si>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</sst>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21">
          <cell r="BA121">
            <v>9360124.4399999976</v>
          </cell>
        </row>
      </sheetData>
      <sheetData sheetId="1">
        <row r="8">
          <cell r="D8">
            <v>70788.98</v>
          </cell>
        </row>
        <row r="11">
          <cell r="D11">
            <v>9825493.0600000005</v>
          </cell>
        </row>
      </sheetData>
      <sheetData sheetId="2">
        <row r="8">
          <cell r="E8">
            <v>10.47</v>
          </cell>
        </row>
        <row r="9">
          <cell r="E9">
            <v>317981.26999999996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8" t="s">
        <v>829</v>
      </c>
      <c r="B1" s="159"/>
      <c r="C1" s="159"/>
      <c r="D1" s="159"/>
      <c r="E1" s="160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61" t="s">
        <v>3302</v>
      </c>
      <c r="D3" s="161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4" t="s">
        <v>542</v>
      </c>
      <c r="B1" s="174"/>
      <c r="C1" s="174"/>
      <c r="D1" s="174"/>
      <c r="E1" s="111"/>
      <c r="F1" s="111"/>
      <c r="G1" s="111"/>
      <c r="H1" s="111"/>
      <c r="I1" s="111"/>
      <c r="J1" s="111"/>
      <c r="K1" s="111"/>
    </row>
    <row r="2" spans="1:11" x14ac:dyDescent="0.25">
      <c r="A2" s="162" t="str">
        <f>ENTE_PUBLICO_A</f>
        <v>INSTITUTO MUNICIPAL DE LAS MUJERES, Gobierno del Estado de Guanajuato (a)</v>
      </c>
      <c r="B2" s="163"/>
      <c r="C2" s="163"/>
      <c r="D2" s="164"/>
    </row>
    <row r="3" spans="1:11" x14ac:dyDescent="0.25">
      <c r="A3" s="165" t="s">
        <v>166</v>
      </c>
      <c r="B3" s="166"/>
      <c r="C3" s="166"/>
      <c r="D3" s="167"/>
    </row>
    <row r="4" spans="1:11" x14ac:dyDescent="0.25">
      <c r="A4" s="168" t="str">
        <f>TRIMESTRE</f>
        <v>Del 1 de enero al 31 de diciembre de 2018 (b)</v>
      </c>
      <c r="B4" s="169"/>
      <c r="C4" s="169"/>
      <c r="D4" s="170"/>
    </row>
    <row r="5" spans="1:11" x14ac:dyDescent="0.25">
      <c r="A5" s="171" t="s">
        <v>118</v>
      </c>
      <c r="B5" s="172"/>
      <c r="C5" s="172"/>
      <c r="D5" s="173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9759883.4799999986</v>
      </c>
      <c r="C8" s="40">
        <f t="shared" ref="C8:D8" si="0">SUM(C9:C11)</f>
        <v>9825493.0600000005</v>
      </c>
      <c r="D8" s="40">
        <f t="shared" si="0"/>
        <v>9825493.0599999987</v>
      </c>
    </row>
    <row r="9" spans="1:11" x14ac:dyDescent="0.25">
      <c r="A9" s="53" t="s">
        <v>169</v>
      </c>
      <c r="B9" s="152">
        <v>9759883.4799999986</v>
      </c>
      <c r="C9" s="152">
        <f>+'[1]EDO ACTIVIDADES'!$D$11</f>
        <v>9825493.0600000005</v>
      </c>
      <c r="D9" s="152">
        <f>+'[1]PRESUPUESTO VS EJERCIDO'!$BA$13</f>
        <v>9825493.0599999987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9759883.4799999986</v>
      </c>
      <c r="C13" s="40">
        <f t="shared" ref="C13:D13" si="2">C14+C15</f>
        <v>9360124.4600000009</v>
      </c>
      <c r="D13" s="40">
        <f t="shared" si="2"/>
        <v>9360124.4399999976</v>
      </c>
    </row>
    <row r="14" spans="1:11" x14ac:dyDescent="0.25">
      <c r="A14" s="53" t="s">
        <v>172</v>
      </c>
      <c r="B14" s="152">
        <f>+B9</f>
        <v>9759883.4799999986</v>
      </c>
      <c r="C14" s="152">
        <f>+[1]CONCILIACION!$H$4</f>
        <v>9360124.4600000009</v>
      </c>
      <c r="D14" s="152">
        <f>+'[1]PRESUPUESTO VS EJERCIDO'!$BA$121</f>
        <v>9360124.4399999976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465368.59999999963</v>
      </c>
      <c r="D21" s="40">
        <f t="shared" si="4"/>
        <v>465368.62000000104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465368.59999999963</v>
      </c>
      <c r="D23" s="40">
        <f t="shared" si="5"/>
        <v>465368.62000000104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465368.59999999963</v>
      </c>
      <c r="D25" s="40">
        <f>D23-D17</f>
        <v>465368.62000000104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465368.59999999963</v>
      </c>
      <c r="D33" s="61">
        <f t="shared" si="8"/>
        <v>465368.62000000104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9759883.4799999986</v>
      </c>
      <c r="C48" s="124">
        <f>C9</f>
        <v>9825493.0600000005</v>
      </c>
      <c r="D48" s="124">
        <f t="shared" ref="D48" si="12">D9</f>
        <v>9825493.0599999987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9759883.4799999986</v>
      </c>
      <c r="C53" s="60">
        <f t="shared" ref="C53:D53" si="14">C14</f>
        <v>9360124.4600000009</v>
      </c>
      <c r="D53" s="60">
        <f t="shared" si="14"/>
        <v>9360124.4399999976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465368.59999999963</v>
      </c>
      <c r="D57" s="61">
        <f t="shared" ref="D57" si="16">D48+D49-D53+D55</f>
        <v>465368.62000000104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465368.59999999963</v>
      </c>
      <c r="D59" s="61">
        <f t="shared" si="17"/>
        <v>465368.62000000104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9759883.4799999986</v>
      </c>
      <c r="Q2" s="18">
        <f>'Formato 4'!C8</f>
        <v>9825493.0600000005</v>
      </c>
      <c r="R2" s="18">
        <f>'Formato 4'!D8</f>
        <v>9825493.0599999987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9759883.4799999986</v>
      </c>
      <c r="Q3" s="18">
        <f>'Formato 4'!C9</f>
        <v>9825493.0600000005</v>
      </c>
      <c r="R3" s="18">
        <f>'Formato 4'!D9</f>
        <v>9825493.0599999987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9759883.4799999986</v>
      </c>
      <c r="Q6" s="18">
        <f>'Formato 4'!C13</f>
        <v>9360124.4600000009</v>
      </c>
      <c r="R6" s="18">
        <f>'Formato 4'!D13</f>
        <v>9360124.4399999976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9759883.4799999986</v>
      </c>
      <c r="Q7" s="18">
        <f>'Formato 4'!C14</f>
        <v>9360124.4600000009</v>
      </c>
      <c r="R7" s="18">
        <f>'Formato 4'!D14</f>
        <v>9360124.4399999976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465368.59999999963</v>
      </c>
      <c r="R12" s="18">
        <f>'Formato 4'!D21</f>
        <v>465368.62000000104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465368.59999999963</v>
      </c>
      <c r="R13" s="18">
        <f>'Formato 4'!D23</f>
        <v>465368.62000000104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465368.59999999963</v>
      </c>
      <c r="R14" s="18">
        <f>'Formato 4'!D25</f>
        <v>465368.62000000104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465368.59999999963</v>
      </c>
      <c r="R18">
        <f>'Formato 4'!D33</f>
        <v>465368.62000000104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9759883.4799999986</v>
      </c>
      <c r="Q26">
        <f>'Formato 4'!C48</f>
        <v>9825493.0600000005</v>
      </c>
      <c r="R26">
        <f>'Formato 4'!D48</f>
        <v>9825493.0599999987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9759883.4799999986</v>
      </c>
      <c r="Q30">
        <f>'Formato 4'!C53</f>
        <v>9360124.4600000009</v>
      </c>
      <c r="R30">
        <f>'Formato 4'!D53</f>
        <v>9360124.4399999976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0" zoomScaleNormal="80" workbookViewId="0">
      <pane ySplit="7" topLeftCell="A8" activePane="bottomLeft" state="frozen"/>
      <selection pane="bottomLeft" activeCell="A22" sqref="A2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0" t="s">
        <v>206</v>
      </c>
      <c r="B1" s="180"/>
      <c r="C1" s="180"/>
      <c r="D1" s="180"/>
      <c r="E1" s="180"/>
      <c r="F1" s="180"/>
      <c r="G1" s="180"/>
    </row>
    <row r="2" spans="1:8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8" x14ac:dyDescent="0.25">
      <c r="A3" s="165" t="s">
        <v>207</v>
      </c>
      <c r="B3" s="166"/>
      <c r="C3" s="166"/>
      <c r="D3" s="166"/>
      <c r="E3" s="166"/>
      <c r="F3" s="166"/>
      <c r="G3" s="167"/>
    </row>
    <row r="4" spans="1:8" x14ac:dyDescent="0.25">
      <c r="A4" s="168" t="str">
        <f>TRIMESTRE</f>
        <v>Del 1 de enero al 31 de diciembre de 2018 (b)</v>
      </c>
      <c r="B4" s="169"/>
      <c r="C4" s="169"/>
      <c r="D4" s="169"/>
      <c r="E4" s="169"/>
      <c r="F4" s="169"/>
      <c r="G4" s="170"/>
    </row>
    <row r="5" spans="1:8" x14ac:dyDescent="0.25">
      <c r="A5" s="171" t="s">
        <v>118</v>
      </c>
      <c r="B5" s="172"/>
      <c r="C5" s="172"/>
      <c r="D5" s="172"/>
      <c r="E5" s="172"/>
      <c r="F5" s="172"/>
      <c r="G5" s="173"/>
    </row>
    <row r="6" spans="1:8" x14ac:dyDescent="0.25">
      <c r="A6" s="177" t="s">
        <v>214</v>
      </c>
      <c r="B6" s="179" t="s">
        <v>208</v>
      </c>
      <c r="C6" s="179"/>
      <c r="D6" s="179"/>
      <c r="E6" s="179"/>
      <c r="F6" s="179"/>
      <c r="G6" s="179" t="s">
        <v>209</v>
      </c>
    </row>
    <row r="7" spans="1:8" ht="30" x14ac:dyDescent="0.25">
      <c r="A7" s="17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/>
      <c r="C10" s="60"/>
      <c r="D10" s="60"/>
      <c r="E10" s="60"/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/>
      <c r="C11" s="60"/>
      <c r="D11" s="60"/>
      <c r="E11" s="60"/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/>
      <c r="C13" s="60"/>
      <c r="D13" s="60"/>
      <c r="E13" s="60"/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/>
      <c r="C14" s="60"/>
      <c r="D14" s="60"/>
      <c r="E14" s="60"/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/>
      <c r="C15" s="60"/>
      <c r="D15" s="60"/>
      <c r="E15" s="60"/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>
        <v>0</v>
      </c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>
        <v>0</v>
      </c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>
        <v>0</v>
      </c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9554704.0799999982</v>
      </c>
      <c r="C35" s="60">
        <f t="shared" ref="C35:F35" si="5">C36</f>
        <v>0</v>
      </c>
      <c r="D35" s="60">
        <f t="shared" si="5"/>
        <v>9754704.0799999982</v>
      </c>
      <c r="E35" s="60">
        <f t="shared" si="5"/>
        <v>9754704.0799999982</v>
      </c>
      <c r="F35" s="60">
        <f t="shared" si="5"/>
        <v>9754704.0799999982</v>
      </c>
      <c r="G35" s="60">
        <f>G36</f>
        <v>200000</v>
      </c>
    </row>
    <row r="36" spans="1:8" x14ac:dyDescent="0.25">
      <c r="A36" s="63" t="s">
        <v>242</v>
      </c>
      <c r="B36" s="60">
        <v>9554704.0799999982</v>
      </c>
      <c r="C36" s="60">
        <v>0</v>
      </c>
      <c r="D36" s="145">
        <v>9754704.0799999982</v>
      </c>
      <c r="E36" s="145">
        <v>9754704.0799999982</v>
      </c>
      <c r="F36" s="145">
        <v>9754704.0799999982</v>
      </c>
      <c r="G36" s="60">
        <f>F36-B36</f>
        <v>200000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71740.2</v>
      </c>
      <c r="D37" s="60">
        <f>D38+D39</f>
        <v>71740.2</v>
      </c>
      <c r="E37" s="60">
        <f t="shared" si="6"/>
        <v>70788.98</v>
      </c>
      <c r="F37" s="60">
        <f t="shared" si="6"/>
        <v>70788.98</v>
      </c>
      <c r="G37" s="60">
        <f t="shared" si="6"/>
        <v>70788.98</v>
      </c>
    </row>
    <row r="38" spans="1:8" x14ac:dyDescent="0.25">
      <c r="A38" s="63" t="s">
        <v>244</v>
      </c>
      <c r="B38" s="60"/>
      <c r="C38" s="60"/>
      <c r="D38" s="60"/>
      <c r="E38" s="60"/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71740.2</v>
      </c>
      <c r="D39" s="60">
        <v>71740.2</v>
      </c>
      <c r="E39" s="60">
        <v>70788.98</v>
      </c>
      <c r="F39" s="145">
        <v>70788.98</v>
      </c>
      <c r="G39" s="60">
        <f>F39-B39</f>
        <v>70788.98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9554704.0799999982</v>
      </c>
      <c r="C41" s="61">
        <f t="shared" ref="C41:E41" si="7">SUM(C9,C10,C11,C12,C13,C14,C15,C16,C28,C34,C35,C37)</f>
        <v>71740.2</v>
      </c>
      <c r="D41" s="61">
        <f t="shared" si="7"/>
        <v>9826444.2799999975</v>
      </c>
      <c r="E41" s="61">
        <f t="shared" si="7"/>
        <v>9825493.0599999987</v>
      </c>
      <c r="F41" s="61">
        <f>SUM(F9,F10,F11,F12,F13,F14,F15,F16,F28,F34,F35,F37)</f>
        <v>9825493.0599999987</v>
      </c>
      <c r="G41" s="61">
        <f>SUM(G9,G10,G11,G12,G13,G14,G15,G16,G28,G34,G35,G37)</f>
        <v>270788.98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270788.98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9554704.0799999982</v>
      </c>
      <c r="C70" s="61">
        <f t="shared" ref="C70:G70" si="13">C41+C65+C67</f>
        <v>71740.2</v>
      </c>
      <c r="D70" s="61">
        <f t="shared" si="13"/>
        <v>9826444.2799999975</v>
      </c>
      <c r="E70" s="61">
        <f t="shared" si="13"/>
        <v>9825493.0599999987</v>
      </c>
      <c r="F70" s="61">
        <f t="shared" si="13"/>
        <v>9825493.0599999987</v>
      </c>
      <c r="G70" s="61">
        <f t="shared" si="13"/>
        <v>270788.98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9554704.0799999982</v>
      </c>
      <c r="Q29" s="18">
        <f>'Formato 5'!C35</f>
        <v>0</v>
      </c>
      <c r="R29" s="18">
        <f>'Formato 5'!D35</f>
        <v>9754704.0799999982</v>
      </c>
      <c r="S29" s="18">
        <f>'Formato 5'!E35</f>
        <v>9754704.0799999982</v>
      </c>
      <c r="T29" s="18">
        <f>'Formato 5'!F35</f>
        <v>9754704.0799999982</v>
      </c>
      <c r="U29" s="18">
        <f>'Formato 5'!G35</f>
        <v>200000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9554704.0799999982</v>
      </c>
      <c r="Q30" s="18">
        <f>'Formato 5'!C36</f>
        <v>0</v>
      </c>
      <c r="R30" s="18">
        <f>'Formato 5'!D36</f>
        <v>9754704.0799999982</v>
      </c>
      <c r="S30" s="18">
        <f>'Formato 5'!E36</f>
        <v>9754704.0799999982</v>
      </c>
      <c r="T30" s="18">
        <f>'Formato 5'!F36</f>
        <v>9754704.0799999982</v>
      </c>
      <c r="U30" s="18">
        <f>'Formato 5'!G36</f>
        <v>200000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71740.2</v>
      </c>
      <c r="R31" s="18">
        <f>'Formato 5'!D37</f>
        <v>71740.2</v>
      </c>
      <c r="S31" s="18">
        <f>'Formato 5'!E37</f>
        <v>70788.98</v>
      </c>
      <c r="T31" s="18">
        <f>'Formato 5'!F37</f>
        <v>70788.98</v>
      </c>
      <c r="U31" s="18">
        <f>'Formato 5'!G37</f>
        <v>70788.98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71740.2</v>
      </c>
      <c r="R33" s="18">
        <f>'Formato 5'!D39</f>
        <v>71740.2</v>
      </c>
      <c r="S33" s="18">
        <f>'Formato 5'!E39</f>
        <v>70788.98</v>
      </c>
      <c r="T33" s="18">
        <f>'Formato 5'!F39</f>
        <v>70788.98</v>
      </c>
      <c r="U33" s="18">
        <f>'Formato 5'!G39</f>
        <v>70788.98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9554704.0799999982</v>
      </c>
      <c r="Q34">
        <f>'Formato 5'!C41</f>
        <v>71740.2</v>
      </c>
      <c r="R34">
        <f>'Formato 5'!D41</f>
        <v>9826444.2799999975</v>
      </c>
      <c r="S34">
        <f>'Formato 5'!E41</f>
        <v>9825493.0599999987</v>
      </c>
      <c r="T34">
        <f>'Formato 5'!F41</f>
        <v>9825493.0599999987</v>
      </c>
      <c r="U34">
        <f>'Formato 5'!G41</f>
        <v>270788.98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270788.98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60" zoomScaleNormal="60" zoomScalePageLayoutView="90" workbookViewId="0">
      <selection activeCell="B94" sqref="B9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1" t="s">
        <v>3285</v>
      </c>
      <c r="B1" s="180"/>
      <c r="C1" s="180"/>
      <c r="D1" s="180"/>
      <c r="E1" s="180"/>
      <c r="F1" s="180"/>
      <c r="G1" s="180"/>
    </row>
    <row r="2" spans="1:7" x14ac:dyDescent="0.25">
      <c r="A2" s="184" t="str">
        <f>ENTE_PUBLICO_A</f>
        <v>INSTITUTO MUNICIPAL DE LAS MUJERES, Gobierno del Estado de Guanajuato (a)</v>
      </c>
      <c r="B2" s="184"/>
      <c r="C2" s="184"/>
      <c r="D2" s="184"/>
      <c r="E2" s="184"/>
      <c r="F2" s="184"/>
      <c r="G2" s="184"/>
    </row>
    <row r="3" spans="1:7" x14ac:dyDescent="0.25">
      <c r="A3" s="185" t="s">
        <v>277</v>
      </c>
      <c r="B3" s="185"/>
      <c r="C3" s="185"/>
      <c r="D3" s="185"/>
      <c r="E3" s="185"/>
      <c r="F3" s="185"/>
      <c r="G3" s="185"/>
    </row>
    <row r="4" spans="1:7" x14ac:dyDescent="0.25">
      <c r="A4" s="185" t="s">
        <v>278</v>
      </c>
      <c r="B4" s="185"/>
      <c r="C4" s="185"/>
      <c r="D4" s="185"/>
      <c r="E4" s="185"/>
      <c r="F4" s="185"/>
      <c r="G4" s="185"/>
    </row>
    <row r="5" spans="1:7" x14ac:dyDescent="0.25">
      <c r="A5" s="186" t="str">
        <f>TRIMESTRE</f>
        <v>Del 1 de enero al 31 de diciembre de 2018 (b)</v>
      </c>
      <c r="B5" s="186"/>
      <c r="C5" s="186"/>
      <c r="D5" s="186"/>
      <c r="E5" s="186"/>
      <c r="F5" s="186"/>
      <c r="G5" s="186"/>
    </row>
    <row r="6" spans="1:7" x14ac:dyDescent="0.25">
      <c r="A6" s="178" t="s">
        <v>118</v>
      </c>
      <c r="B6" s="178"/>
      <c r="C6" s="178"/>
      <c r="D6" s="178"/>
      <c r="E6" s="178"/>
      <c r="F6" s="178"/>
      <c r="G6" s="178"/>
    </row>
    <row r="7" spans="1:7" ht="15" customHeight="1" x14ac:dyDescent="0.25">
      <c r="A7" s="182" t="s">
        <v>0</v>
      </c>
      <c r="B7" s="182" t="s">
        <v>279</v>
      </c>
      <c r="C7" s="182"/>
      <c r="D7" s="182"/>
      <c r="E7" s="182"/>
      <c r="F7" s="182"/>
      <c r="G7" s="183" t="s">
        <v>280</v>
      </c>
    </row>
    <row r="8" spans="1:7" ht="30" x14ac:dyDescent="0.25">
      <c r="A8" s="18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2"/>
    </row>
    <row r="9" spans="1:7" x14ac:dyDescent="0.25">
      <c r="A9" s="82" t="s">
        <v>285</v>
      </c>
      <c r="B9" s="79">
        <f>SUM(B10,B18,B28,B38,B48,B58,B62,B71,B75)</f>
        <v>9554704.1175970603</v>
      </c>
      <c r="C9" s="79">
        <f t="shared" ref="C9:G9" si="0">SUM(C10,C18,C28,C38,C48,C58,C62,C71,C75)</f>
        <v>271739.73999999982</v>
      </c>
      <c r="D9" s="79">
        <f t="shared" si="0"/>
        <v>9826443.8575970586</v>
      </c>
      <c r="E9" s="79">
        <f t="shared" si="0"/>
        <v>9360124.4399999995</v>
      </c>
      <c r="F9" s="79">
        <f t="shared" si="0"/>
        <v>9360124.4399999995</v>
      </c>
      <c r="G9" s="79">
        <f t="shared" si="0"/>
        <v>466319.41759706027</v>
      </c>
    </row>
    <row r="10" spans="1:7" x14ac:dyDescent="0.25">
      <c r="A10" s="83" t="s">
        <v>286</v>
      </c>
      <c r="B10" s="80">
        <f t="shared" ref="B10:F10" si="1">SUM(B11:B17)</f>
        <v>8520307.8998835497</v>
      </c>
      <c r="C10" s="80">
        <f t="shared" si="1"/>
        <v>48857.279999999795</v>
      </c>
      <c r="D10" s="80">
        <f t="shared" si="1"/>
        <v>8569165.179883549</v>
      </c>
      <c r="E10" s="80">
        <f t="shared" si="1"/>
        <v>8192506.6000000006</v>
      </c>
      <c r="F10" s="80">
        <f t="shared" si="1"/>
        <v>8192506.6000000006</v>
      </c>
      <c r="G10" s="80">
        <f>SUM(G11:G17)</f>
        <v>376658.57988354925</v>
      </c>
    </row>
    <row r="11" spans="1:7" x14ac:dyDescent="0.25">
      <c r="A11" s="84" t="s">
        <v>287</v>
      </c>
      <c r="B11" s="80">
        <v>3297403.6283999998</v>
      </c>
      <c r="C11" s="80">
        <v>0</v>
      </c>
      <c r="D11" s="153">
        <v>3297403.6283999998</v>
      </c>
      <c r="E11" s="154">
        <v>3186038.35</v>
      </c>
      <c r="F11" s="154">
        <v>3186038.35</v>
      </c>
      <c r="G11" s="80">
        <f>D11-E11</f>
        <v>111365.27839999972</v>
      </c>
    </row>
    <row r="12" spans="1:7" x14ac:dyDescent="0.25">
      <c r="A12" s="84" t="s">
        <v>288</v>
      </c>
      <c r="B12" s="80">
        <v>3010000</v>
      </c>
      <c r="C12" s="80">
        <v>48857.279999999795</v>
      </c>
      <c r="D12" s="153">
        <v>3058857.28</v>
      </c>
      <c r="E12" s="154">
        <v>2962571.11</v>
      </c>
      <c r="F12" s="154">
        <v>2962571.11</v>
      </c>
      <c r="G12" s="80">
        <f>D12-E12</f>
        <v>96286.169999999925</v>
      </c>
    </row>
    <row r="13" spans="1:7" x14ac:dyDescent="0.25">
      <c r="A13" s="84" t="s">
        <v>289</v>
      </c>
      <c r="B13" s="80">
        <v>559173.38636624988</v>
      </c>
      <c r="C13" s="80">
        <v>0</v>
      </c>
      <c r="D13" s="153">
        <v>559173.38636624988</v>
      </c>
      <c r="E13" s="154">
        <v>538662.44000000006</v>
      </c>
      <c r="F13" s="154">
        <v>538662.44000000006</v>
      </c>
      <c r="G13" s="80">
        <f t="shared" ref="G13:G17" si="2">D13-E13</f>
        <v>20510.946366249816</v>
      </c>
    </row>
    <row r="14" spans="1:7" x14ac:dyDescent="0.25">
      <c r="A14" s="84" t="s">
        <v>290</v>
      </c>
      <c r="B14" s="80">
        <v>816000</v>
      </c>
      <c r="C14" s="80">
        <v>0</v>
      </c>
      <c r="D14" s="153">
        <v>816000</v>
      </c>
      <c r="E14" s="154">
        <v>709384.33000000007</v>
      </c>
      <c r="F14" s="154">
        <v>709384.33000000007</v>
      </c>
      <c r="G14" s="80">
        <f t="shared" si="2"/>
        <v>106615.66999999993</v>
      </c>
    </row>
    <row r="15" spans="1:7" x14ac:dyDescent="0.25">
      <c r="A15" s="84" t="s">
        <v>291</v>
      </c>
      <c r="B15" s="80">
        <v>837730.88511729997</v>
      </c>
      <c r="C15" s="80">
        <v>0</v>
      </c>
      <c r="D15" s="153">
        <v>837730.88511729997</v>
      </c>
      <c r="E15" s="154">
        <v>795850.37000000011</v>
      </c>
      <c r="F15" s="154">
        <v>795850.37000000011</v>
      </c>
      <c r="G15" s="80">
        <f t="shared" si="2"/>
        <v>41880.515117299859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154">
        <v>0</v>
      </c>
      <c r="F16" s="154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154">
        <v>0</v>
      </c>
      <c r="F17" s="154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112500</v>
      </c>
      <c r="C18" s="80">
        <f t="shared" ref="C18:C38" si="3">+D18-B18</f>
        <v>59009.200000000012</v>
      </c>
      <c r="D18" s="80">
        <f t="shared" ref="D18:F18" si="4">SUM(D19:D27)</f>
        <v>171509.2</v>
      </c>
      <c r="E18" s="80">
        <f t="shared" si="4"/>
        <v>161641.21</v>
      </c>
      <c r="F18" s="80">
        <f t="shared" si="4"/>
        <v>161641.21</v>
      </c>
      <c r="G18" s="80">
        <f>SUM(G19:G27)</f>
        <v>9867.9899999999907</v>
      </c>
    </row>
    <row r="19" spans="1:7" x14ac:dyDescent="0.25">
      <c r="A19" s="84" t="s">
        <v>295</v>
      </c>
      <c r="B19" s="80">
        <v>54500</v>
      </c>
      <c r="C19" s="80">
        <v>46632.2</v>
      </c>
      <c r="D19" s="153">
        <v>101132.2</v>
      </c>
      <c r="E19" s="154">
        <v>100082.6</v>
      </c>
      <c r="F19" s="154">
        <v>100082.6</v>
      </c>
      <c r="G19" s="80">
        <f>D19-E19</f>
        <v>1049.5999999999913</v>
      </c>
    </row>
    <row r="20" spans="1:7" x14ac:dyDescent="0.25">
      <c r="A20" s="84" t="s">
        <v>296</v>
      </c>
      <c r="B20" s="80">
        <v>9000</v>
      </c>
      <c r="C20" s="80">
        <v>-8500</v>
      </c>
      <c r="D20" s="153">
        <v>500</v>
      </c>
      <c r="E20" s="154">
        <v>0</v>
      </c>
      <c r="F20" s="154">
        <v>0</v>
      </c>
      <c r="G20" s="80">
        <f t="shared" ref="G20:G27" si="5">D20-E20</f>
        <v>500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154">
        <v>0</v>
      </c>
      <c r="F21" s="154">
        <v>0</v>
      </c>
      <c r="G21" s="80">
        <f t="shared" si="5"/>
        <v>0</v>
      </c>
    </row>
    <row r="22" spans="1:7" x14ac:dyDescent="0.25">
      <c r="A22" s="84" t="s">
        <v>298</v>
      </c>
      <c r="B22" s="80">
        <v>1500</v>
      </c>
      <c r="C22" s="80">
        <v>15293</v>
      </c>
      <c r="D22" s="153">
        <v>16793</v>
      </c>
      <c r="E22" s="154">
        <v>14394.29</v>
      </c>
      <c r="F22" s="154">
        <v>14394.29</v>
      </c>
      <c r="G22" s="80">
        <f t="shared" si="5"/>
        <v>2398.7099999999991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154">
        <v>0</v>
      </c>
      <c r="F23" s="154">
        <v>0</v>
      </c>
      <c r="G23" s="80">
        <f t="shared" si="5"/>
        <v>0</v>
      </c>
    </row>
    <row r="24" spans="1:7" x14ac:dyDescent="0.25">
      <c r="A24" s="84" t="s">
        <v>300</v>
      </c>
      <c r="B24" s="80">
        <v>37500</v>
      </c>
      <c r="C24" s="80">
        <v>5501</v>
      </c>
      <c r="D24" s="153">
        <v>43001</v>
      </c>
      <c r="E24" s="154">
        <v>43000.67</v>
      </c>
      <c r="F24" s="154">
        <v>43000.67</v>
      </c>
      <c r="G24" s="80">
        <f t="shared" si="5"/>
        <v>0.33000000000174623</v>
      </c>
    </row>
    <row r="25" spans="1:7" x14ac:dyDescent="0.25">
      <c r="A25" s="84" t="s">
        <v>301</v>
      </c>
      <c r="B25" s="80"/>
      <c r="C25" s="80">
        <v>0</v>
      </c>
      <c r="D25" s="80"/>
      <c r="E25" s="154"/>
      <c r="F25" s="154"/>
      <c r="G25" s="80">
        <f t="shared" si="5"/>
        <v>0</v>
      </c>
    </row>
    <row r="26" spans="1:7" x14ac:dyDescent="0.25">
      <c r="A26" s="84" t="s">
        <v>302</v>
      </c>
      <c r="B26" s="80"/>
      <c r="C26" s="80">
        <v>0</v>
      </c>
      <c r="D26" s="80"/>
      <c r="E26" s="154"/>
      <c r="F26" s="154"/>
      <c r="G26" s="80">
        <f t="shared" si="5"/>
        <v>0</v>
      </c>
    </row>
    <row r="27" spans="1:7" x14ac:dyDescent="0.25">
      <c r="A27" s="84" t="s">
        <v>303</v>
      </c>
      <c r="B27" s="80">
        <v>10000</v>
      </c>
      <c r="C27" s="80">
        <v>83</v>
      </c>
      <c r="D27" s="153">
        <v>10083</v>
      </c>
      <c r="E27" s="154">
        <v>4163.6500000000005</v>
      </c>
      <c r="F27" s="154">
        <v>4163.6500000000005</v>
      </c>
      <c r="G27" s="80">
        <f t="shared" si="5"/>
        <v>5919.3499999999995</v>
      </c>
    </row>
    <row r="28" spans="1:7" x14ac:dyDescent="0.25">
      <c r="A28" s="83" t="s">
        <v>304</v>
      </c>
      <c r="B28" s="80">
        <f>SUM(B29:B37)</f>
        <v>900396.21771351097</v>
      </c>
      <c r="C28" s="80">
        <f t="shared" si="3"/>
        <v>129293.26000000001</v>
      </c>
      <c r="D28" s="80">
        <f t="shared" ref="D28:G28" si="6">SUM(D29:D37)</f>
        <v>1029689.477713511</v>
      </c>
      <c r="E28" s="80">
        <f t="shared" si="6"/>
        <v>951282.35000000009</v>
      </c>
      <c r="F28" s="80">
        <f t="shared" si="6"/>
        <v>951282.35000000009</v>
      </c>
      <c r="G28" s="80">
        <f t="shared" si="6"/>
        <v>78407.127713511029</v>
      </c>
    </row>
    <row r="29" spans="1:7" x14ac:dyDescent="0.25">
      <c r="A29" s="84" t="s">
        <v>305</v>
      </c>
      <c r="B29" s="80">
        <v>88000</v>
      </c>
      <c r="C29" s="80">
        <v>-14849</v>
      </c>
      <c r="D29" s="153">
        <v>73151</v>
      </c>
      <c r="E29" s="154">
        <v>71898.859999999986</v>
      </c>
      <c r="F29" s="154">
        <v>71898.859999999986</v>
      </c>
      <c r="G29" s="80">
        <f>D29-E29</f>
        <v>1252.140000000014</v>
      </c>
    </row>
    <row r="30" spans="1:7" x14ac:dyDescent="0.25">
      <c r="A30" s="84" t="s">
        <v>306</v>
      </c>
      <c r="B30" s="80">
        <v>5000</v>
      </c>
      <c r="C30" s="80">
        <v>8000</v>
      </c>
      <c r="D30" s="153">
        <v>13000</v>
      </c>
      <c r="E30" s="154">
        <v>12876</v>
      </c>
      <c r="F30" s="154">
        <v>12876</v>
      </c>
      <c r="G30" s="80">
        <f t="shared" ref="G30:G37" si="7">D30-E30</f>
        <v>124</v>
      </c>
    </row>
    <row r="31" spans="1:7" x14ac:dyDescent="0.25">
      <c r="A31" s="84" t="s">
        <v>307</v>
      </c>
      <c r="B31" s="80">
        <v>394900</v>
      </c>
      <c r="C31" s="80">
        <v>-8133</v>
      </c>
      <c r="D31" s="153">
        <v>386767</v>
      </c>
      <c r="E31" s="154">
        <v>380254.52</v>
      </c>
      <c r="F31" s="154">
        <v>380254.52</v>
      </c>
      <c r="G31" s="80">
        <f t="shared" si="7"/>
        <v>6512.4799999999814</v>
      </c>
    </row>
    <row r="32" spans="1:7" x14ac:dyDescent="0.25">
      <c r="A32" s="84" t="s">
        <v>308</v>
      </c>
      <c r="B32" s="80">
        <v>31000</v>
      </c>
      <c r="C32" s="80">
        <v>-1273</v>
      </c>
      <c r="D32" s="153">
        <v>29727</v>
      </c>
      <c r="E32" s="154">
        <v>27731.71</v>
      </c>
      <c r="F32" s="154">
        <v>27731.71</v>
      </c>
      <c r="G32" s="80">
        <f t="shared" si="7"/>
        <v>1995.2900000000009</v>
      </c>
    </row>
    <row r="33" spans="1:7" x14ac:dyDescent="0.25">
      <c r="A33" s="84" t="s">
        <v>309</v>
      </c>
      <c r="B33" s="80">
        <v>41500</v>
      </c>
      <c r="C33" s="80">
        <v>500</v>
      </c>
      <c r="D33" s="153">
        <v>42000</v>
      </c>
      <c r="E33" s="154">
        <v>28969.75</v>
      </c>
      <c r="F33" s="154">
        <v>28969.75</v>
      </c>
      <c r="G33" s="80">
        <f t="shared" si="7"/>
        <v>13030.25</v>
      </c>
    </row>
    <row r="34" spans="1:7" x14ac:dyDescent="0.25">
      <c r="A34" s="84" t="s">
        <v>310</v>
      </c>
      <c r="B34" s="80">
        <v>116000</v>
      </c>
      <c r="C34" s="80">
        <v>141004.72</v>
      </c>
      <c r="D34" s="153">
        <v>257004.72</v>
      </c>
      <c r="E34" s="154">
        <v>239504.74</v>
      </c>
      <c r="F34" s="154">
        <v>239504.74</v>
      </c>
      <c r="G34" s="80">
        <f t="shared" si="7"/>
        <v>17499.98000000001</v>
      </c>
    </row>
    <row r="35" spans="1:7" x14ac:dyDescent="0.25">
      <c r="A35" s="84" t="s">
        <v>311</v>
      </c>
      <c r="B35" s="80">
        <v>9500</v>
      </c>
      <c r="C35" s="80">
        <v>54509</v>
      </c>
      <c r="D35" s="153">
        <v>64009</v>
      </c>
      <c r="E35" s="154">
        <v>41154.800000000003</v>
      </c>
      <c r="F35" s="154">
        <v>41154.800000000003</v>
      </c>
      <c r="G35" s="80">
        <f t="shared" si="7"/>
        <v>22854.199999999997</v>
      </c>
    </row>
    <row r="36" spans="1:7" x14ac:dyDescent="0.25">
      <c r="A36" s="84" t="s">
        <v>312</v>
      </c>
      <c r="B36" s="80">
        <v>130910</v>
      </c>
      <c r="C36" s="80">
        <v>-50465.459999999992</v>
      </c>
      <c r="D36" s="153">
        <v>80444.540000000008</v>
      </c>
      <c r="E36" s="154">
        <v>70148.490000000005</v>
      </c>
      <c r="F36" s="154">
        <v>70148.490000000005</v>
      </c>
      <c r="G36" s="80">
        <f t="shared" si="7"/>
        <v>10296.050000000003</v>
      </c>
    </row>
    <row r="37" spans="1:7" x14ac:dyDescent="0.25">
      <c r="A37" s="84" t="s">
        <v>313</v>
      </c>
      <c r="B37" s="80">
        <v>83586.217713511011</v>
      </c>
      <c r="C37" s="80">
        <v>0</v>
      </c>
      <c r="D37" s="153">
        <v>83586.217713511011</v>
      </c>
      <c r="E37" s="154">
        <v>78743.48</v>
      </c>
      <c r="F37" s="154">
        <v>78743.48</v>
      </c>
      <c r="G37" s="80">
        <f t="shared" si="7"/>
        <v>4842.7377135110146</v>
      </c>
    </row>
    <row r="38" spans="1:7" x14ac:dyDescent="0.25">
      <c r="A38" s="83" t="s">
        <v>314</v>
      </c>
      <c r="B38" s="80">
        <f>SUM(B39:B47)</f>
        <v>0</v>
      </c>
      <c r="C38" s="80">
        <f t="shared" si="3"/>
        <v>951</v>
      </c>
      <c r="D38" s="80">
        <f t="shared" ref="D38:G38" si="8">SUM(D39:D47)</f>
        <v>951</v>
      </c>
      <c r="E38" s="80">
        <f t="shared" si="8"/>
        <v>0</v>
      </c>
      <c r="F38" s="80">
        <f t="shared" si="8"/>
        <v>0</v>
      </c>
      <c r="G38" s="80">
        <f t="shared" si="8"/>
        <v>951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9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9"/>
        <v>0</v>
      </c>
    </row>
    <row r="42" spans="1:7" x14ac:dyDescent="0.25">
      <c r="A42" s="84" t="s">
        <v>318</v>
      </c>
      <c r="B42" s="80"/>
      <c r="C42" s="80">
        <v>951</v>
      </c>
      <c r="D42" s="80">
        <v>951</v>
      </c>
      <c r="E42" s="80"/>
      <c r="F42" s="80"/>
      <c r="G42" s="80">
        <f t="shared" si="9"/>
        <v>951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9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9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9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9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9"/>
        <v>0</v>
      </c>
    </row>
    <row r="48" spans="1:7" x14ac:dyDescent="0.25">
      <c r="A48" s="83" t="s">
        <v>324</v>
      </c>
      <c r="B48" s="80">
        <f>SUM(B49:B57)</f>
        <v>21500</v>
      </c>
      <c r="C48" s="80">
        <f t="shared" ref="C48" si="10">+D48-B48</f>
        <v>33629</v>
      </c>
      <c r="D48" s="80">
        <f t="shared" ref="D48:G48" si="11">SUM(D49:D57)</f>
        <v>55129</v>
      </c>
      <c r="E48" s="80">
        <f t="shared" si="11"/>
        <v>54694.28</v>
      </c>
      <c r="F48" s="80">
        <f t="shared" si="11"/>
        <v>54694.28</v>
      </c>
      <c r="G48" s="80">
        <f t="shared" si="11"/>
        <v>434.72000000000298</v>
      </c>
    </row>
    <row r="49" spans="1:7" x14ac:dyDescent="0.25">
      <c r="A49" s="84" t="s">
        <v>325</v>
      </c>
      <c r="B49" s="80">
        <v>5000</v>
      </c>
      <c r="C49" s="80">
        <v>22807</v>
      </c>
      <c r="D49" s="153">
        <v>27807</v>
      </c>
      <c r="E49" s="154">
        <v>27371.879999999997</v>
      </c>
      <c r="F49" s="154">
        <v>27371.879999999997</v>
      </c>
      <c r="G49" s="80">
        <f>D49-E49</f>
        <v>435.12000000000262</v>
      </c>
    </row>
    <row r="50" spans="1:7" x14ac:dyDescent="0.25">
      <c r="A50" s="84" t="s">
        <v>326</v>
      </c>
      <c r="B50" s="80">
        <v>3500</v>
      </c>
      <c r="C50" s="80">
        <v>-120</v>
      </c>
      <c r="D50" s="153">
        <v>3380</v>
      </c>
      <c r="E50" s="154">
        <v>3380</v>
      </c>
      <c r="F50" s="154">
        <v>3380</v>
      </c>
      <c r="G50" s="80">
        <f t="shared" ref="G50:G57" si="12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154">
        <v>0</v>
      </c>
      <c r="F51" s="154">
        <v>0</v>
      </c>
      <c r="G51" s="80">
        <f t="shared" si="12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154">
        <v>0</v>
      </c>
      <c r="F52" s="154">
        <v>0</v>
      </c>
      <c r="G52" s="80">
        <f t="shared" si="12"/>
        <v>0</v>
      </c>
    </row>
    <row r="53" spans="1:7" x14ac:dyDescent="0.25">
      <c r="A53" s="84" t="s">
        <v>329</v>
      </c>
      <c r="B53" s="80"/>
      <c r="C53" s="80">
        <v>0</v>
      </c>
      <c r="D53" s="80"/>
      <c r="E53" s="154"/>
      <c r="F53" s="154"/>
      <c r="G53" s="80">
        <f t="shared" si="12"/>
        <v>0</v>
      </c>
    </row>
    <row r="54" spans="1:7" x14ac:dyDescent="0.25">
      <c r="A54" s="84" t="s">
        <v>330</v>
      </c>
      <c r="B54" s="80">
        <v>0</v>
      </c>
      <c r="C54" s="80">
        <v>8932</v>
      </c>
      <c r="D54" s="153">
        <v>8932</v>
      </c>
      <c r="E54" s="154">
        <v>8932</v>
      </c>
      <c r="F54" s="154">
        <v>8932</v>
      </c>
      <c r="G54" s="80">
        <f t="shared" si="12"/>
        <v>0</v>
      </c>
    </row>
    <row r="55" spans="1:7" x14ac:dyDescent="0.25">
      <c r="A55" s="84" t="s">
        <v>331</v>
      </c>
      <c r="B55" s="80"/>
      <c r="C55" s="80">
        <v>0</v>
      </c>
      <c r="D55" s="80"/>
      <c r="E55" s="154"/>
      <c r="F55" s="154"/>
      <c r="G55" s="80">
        <f t="shared" si="12"/>
        <v>0</v>
      </c>
    </row>
    <row r="56" spans="1:7" x14ac:dyDescent="0.25">
      <c r="A56" s="84" t="s">
        <v>332</v>
      </c>
      <c r="B56" s="80"/>
      <c r="C56" s="80">
        <v>0</v>
      </c>
      <c r="D56" s="80"/>
      <c r="E56" s="154"/>
      <c r="F56" s="154"/>
      <c r="G56" s="80">
        <f t="shared" si="12"/>
        <v>0</v>
      </c>
    </row>
    <row r="57" spans="1:7" x14ac:dyDescent="0.25">
      <c r="A57" s="84" t="s">
        <v>333</v>
      </c>
      <c r="B57" s="80">
        <v>13000</v>
      </c>
      <c r="C57" s="80">
        <v>2010</v>
      </c>
      <c r="D57" s="153">
        <v>15010</v>
      </c>
      <c r="E57" s="154">
        <v>15010.4</v>
      </c>
      <c r="F57" s="154">
        <v>15010.4</v>
      </c>
      <c r="G57" s="80">
        <f t="shared" si="12"/>
        <v>-0.3999999999996362</v>
      </c>
    </row>
    <row r="58" spans="1:7" x14ac:dyDescent="0.25">
      <c r="A58" s="83" t="s">
        <v>334</v>
      </c>
      <c r="B58" s="80">
        <f>SUM(B59:B61)</f>
        <v>0</v>
      </c>
      <c r="C58" s="80">
        <f t="shared" ref="C58" si="13">+D58-B58</f>
        <v>0</v>
      </c>
      <c r="D58" s="80">
        <f t="shared" ref="D58:G58" si="14">SUM(D59:D61)</f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5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5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6">SUM(C63:C67,C69:C70)</f>
        <v>0</v>
      </c>
      <c r="D62" s="80">
        <f t="shared" si="16"/>
        <v>0</v>
      </c>
      <c r="E62" s="80">
        <f t="shared" si="16"/>
        <v>0</v>
      </c>
      <c r="F62" s="80">
        <f t="shared" si="16"/>
        <v>0</v>
      </c>
      <c r="G62" s="80">
        <f t="shared" si="16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7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7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7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7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7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7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7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8">SUM(C72:C74)</f>
        <v>0</v>
      </c>
      <c r="D71" s="80">
        <f t="shared" si="18"/>
        <v>0</v>
      </c>
      <c r="E71" s="80">
        <f t="shared" si="18"/>
        <v>0</v>
      </c>
      <c r="F71" s="80">
        <f t="shared" si="18"/>
        <v>0</v>
      </c>
      <c r="G71" s="80">
        <f t="shared" si="18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9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9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0">SUM(C76:C82)</f>
        <v>0</v>
      </c>
      <c r="D75" s="80">
        <f t="shared" si="20"/>
        <v>0</v>
      </c>
      <c r="E75" s="80">
        <f t="shared" si="20"/>
        <v>0</v>
      </c>
      <c r="F75" s="80">
        <f t="shared" si="20"/>
        <v>0</v>
      </c>
      <c r="G75" s="80">
        <f t="shared" si="20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1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1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1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1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1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3">SUM(C86:C92)</f>
        <v>0</v>
      </c>
      <c r="D85" s="80">
        <f t="shared" si="23"/>
        <v>0</v>
      </c>
      <c r="E85" s="80">
        <f t="shared" si="23"/>
        <v>0</v>
      </c>
      <c r="F85" s="80">
        <f t="shared" si="23"/>
        <v>0</v>
      </c>
      <c r="G85" s="80">
        <f t="shared" si="23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4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4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6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6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6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6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6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6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6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6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7">SUM(D104:D112)</f>
        <v>0</v>
      </c>
      <c r="E103" s="80">
        <f t="shared" si="27"/>
        <v>0</v>
      </c>
      <c r="F103" s="80">
        <f t="shared" si="27"/>
        <v>0</v>
      </c>
      <c r="G103" s="80">
        <f t="shared" si="27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8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8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8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8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8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8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8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8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9">SUM(C114:C122)</f>
        <v>0</v>
      </c>
      <c r="D113" s="80">
        <f t="shared" si="29"/>
        <v>0</v>
      </c>
      <c r="E113" s="80">
        <f t="shared" si="29"/>
        <v>0</v>
      </c>
      <c r="F113" s="80">
        <f t="shared" si="29"/>
        <v>0</v>
      </c>
      <c r="G113" s="80">
        <f t="shared" si="29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0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0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0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0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0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0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0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1">SUM(C124:C132)</f>
        <v>0</v>
      </c>
      <c r="D123" s="80">
        <f t="shared" si="31"/>
        <v>0</v>
      </c>
      <c r="E123" s="80">
        <f t="shared" si="31"/>
        <v>0</v>
      </c>
      <c r="F123" s="80">
        <f t="shared" si="31"/>
        <v>0</v>
      </c>
      <c r="G123" s="80">
        <f t="shared" si="31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2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2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2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2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2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2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2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>
        <v>0</v>
      </c>
      <c r="G132" s="80">
        <f t="shared" si="32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3">SUM(C134:C136)</f>
        <v>0</v>
      </c>
      <c r="D133" s="80">
        <f t="shared" si="33"/>
        <v>0</v>
      </c>
      <c r="E133" s="80">
        <f t="shared" si="33"/>
        <v>0</v>
      </c>
      <c r="F133" s="80">
        <f t="shared" si="33"/>
        <v>0</v>
      </c>
      <c r="G133" s="80">
        <f t="shared" si="33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4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6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6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6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6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6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6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6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7">SUM(C147:C149)</f>
        <v>0</v>
      </c>
      <c r="D146" s="80">
        <f t="shared" si="37"/>
        <v>0</v>
      </c>
      <c r="E146" s="80">
        <f t="shared" si="37"/>
        <v>0</v>
      </c>
      <c r="F146" s="80">
        <f t="shared" si="37"/>
        <v>0</v>
      </c>
      <c r="G146" s="80">
        <f t="shared" si="37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8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8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si="3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0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9554704.1175970603</v>
      </c>
      <c r="C159" s="79">
        <f t="shared" ref="C159:G159" si="41">C9+C84</f>
        <v>271739.73999999982</v>
      </c>
      <c r="D159" s="79">
        <f t="shared" si="41"/>
        <v>9826443.8575970586</v>
      </c>
      <c r="E159" s="79">
        <f t="shared" si="41"/>
        <v>9360124.4399999995</v>
      </c>
      <c r="F159" s="79">
        <f>F9+F84</f>
        <v>9360124.4399999995</v>
      </c>
      <c r="G159" s="79">
        <f t="shared" si="41"/>
        <v>466319.41759706027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3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9554704.1175970603</v>
      </c>
      <c r="Q2" s="18">
        <f>'Formato 6 a)'!C9</f>
        <v>271739.73999999982</v>
      </c>
      <c r="R2" s="18">
        <f>'Formato 6 a)'!D9</f>
        <v>9826443.8575970586</v>
      </c>
      <c r="S2" s="18">
        <f>'Formato 6 a)'!E9</f>
        <v>9360124.4399999995</v>
      </c>
      <c r="T2" s="18">
        <f>'Formato 6 a)'!F9</f>
        <v>9360124.4399999995</v>
      </c>
      <c r="U2" s="18">
        <f>'Formato 6 a)'!G9</f>
        <v>466319.41759706027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8520307.8998835497</v>
      </c>
      <c r="Q3" s="18">
        <f>'Formato 6 a)'!C10</f>
        <v>48857.279999999795</v>
      </c>
      <c r="R3" s="18">
        <f>'Formato 6 a)'!D10</f>
        <v>8569165.179883549</v>
      </c>
      <c r="S3" s="18">
        <f>'Formato 6 a)'!E10</f>
        <v>8192506.6000000006</v>
      </c>
      <c r="T3" s="18">
        <f>'Formato 6 a)'!F10</f>
        <v>8192506.6000000006</v>
      </c>
      <c r="U3" s="18">
        <f>'Formato 6 a)'!G10</f>
        <v>376658.57988354925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3297403.6283999998</v>
      </c>
      <c r="Q4" s="18">
        <f>'Formato 6 a)'!C11</f>
        <v>0</v>
      </c>
      <c r="R4" s="18">
        <f>'Formato 6 a)'!D11</f>
        <v>3297403.6283999998</v>
      </c>
      <c r="S4" s="18">
        <f>'Formato 6 a)'!E11</f>
        <v>3186038.35</v>
      </c>
      <c r="T4" s="18">
        <f>'Formato 6 a)'!F11</f>
        <v>3186038.35</v>
      </c>
      <c r="U4" s="18">
        <f>'Formato 6 a)'!G11</f>
        <v>111365.27839999972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3010000</v>
      </c>
      <c r="Q5" s="18">
        <f>'Formato 6 a)'!C12</f>
        <v>48857.279999999795</v>
      </c>
      <c r="R5" s="18">
        <f>'Formato 6 a)'!D12</f>
        <v>3058857.28</v>
      </c>
      <c r="S5" s="18">
        <f>'Formato 6 a)'!E12</f>
        <v>2962571.11</v>
      </c>
      <c r="T5" s="18">
        <f>'Formato 6 a)'!F12</f>
        <v>2962571.11</v>
      </c>
      <c r="U5" s="18">
        <f>'Formato 6 a)'!G12</f>
        <v>96286.169999999925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559173.38636624988</v>
      </c>
      <c r="Q6" s="18">
        <f>'Formato 6 a)'!C13</f>
        <v>0</v>
      </c>
      <c r="R6" s="18">
        <f>'Formato 6 a)'!D13</f>
        <v>559173.38636624988</v>
      </c>
      <c r="S6" s="18">
        <f>'Formato 6 a)'!E13</f>
        <v>538662.44000000006</v>
      </c>
      <c r="T6" s="18">
        <f>'Formato 6 a)'!F13</f>
        <v>538662.44000000006</v>
      </c>
      <c r="U6" s="18">
        <f>'Formato 6 a)'!G13</f>
        <v>20510.946366249816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816000</v>
      </c>
      <c r="Q7" s="18">
        <f>'Formato 6 a)'!C14</f>
        <v>0</v>
      </c>
      <c r="R7" s="18">
        <f>'Formato 6 a)'!D14</f>
        <v>816000</v>
      </c>
      <c r="S7" s="18">
        <f>'Formato 6 a)'!E14</f>
        <v>709384.33000000007</v>
      </c>
      <c r="T7" s="18">
        <f>'Formato 6 a)'!F14</f>
        <v>709384.33000000007</v>
      </c>
      <c r="U7" s="18">
        <f>'Formato 6 a)'!G14</f>
        <v>106615.66999999993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837730.88511729997</v>
      </c>
      <c r="Q8" s="18">
        <f>'Formato 6 a)'!C15</f>
        <v>0</v>
      </c>
      <c r="R8" s="18">
        <f>'Formato 6 a)'!D15</f>
        <v>837730.88511729997</v>
      </c>
      <c r="S8" s="18">
        <f>'Formato 6 a)'!E15</f>
        <v>795850.37000000011</v>
      </c>
      <c r="T8" s="18">
        <f>'Formato 6 a)'!F15</f>
        <v>795850.37000000011</v>
      </c>
      <c r="U8" s="18">
        <f>'Formato 6 a)'!G15</f>
        <v>41880.515117299859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112500</v>
      </c>
      <c r="Q11" s="18">
        <f>'Formato 6 a)'!C18</f>
        <v>59009.200000000012</v>
      </c>
      <c r="R11" s="18">
        <f>'Formato 6 a)'!D18</f>
        <v>171509.2</v>
      </c>
      <c r="S11" s="18">
        <f>'Formato 6 a)'!E18</f>
        <v>161641.21</v>
      </c>
      <c r="T11" s="18">
        <f>'Formato 6 a)'!F18</f>
        <v>161641.21</v>
      </c>
      <c r="U11" s="18">
        <f>'Formato 6 a)'!G18</f>
        <v>9867.9899999999907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54500</v>
      </c>
      <c r="Q12" s="18">
        <f>'Formato 6 a)'!C19</f>
        <v>46632.2</v>
      </c>
      <c r="R12" s="18">
        <f>'Formato 6 a)'!D19</f>
        <v>101132.2</v>
      </c>
      <c r="S12" s="18">
        <f>'Formato 6 a)'!E19</f>
        <v>100082.6</v>
      </c>
      <c r="T12" s="18">
        <f>'Formato 6 a)'!F19</f>
        <v>100082.6</v>
      </c>
      <c r="U12" s="18">
        <f>'Formato 6 a)'!G19</f>
        <v>1049.5999999999913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-8500</v>
      </c>
      <c r="R13" s="18">
        <f>'Formato 6 a)'!D20</f>
        <v>500</v>
      </c>
      <c r="S13" s="18">
        <f>'Formato 6 a)'!E20</f>
        <v>0</v>
      </c>
      <c r="T13" s="18">
        <f>'Formato 6 a)'!F20</f>
        <v>0</v>
      </c>
      <c r="U13" s="18">
        <f>'Formato 6 a)'!G20</f>
        <v>500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1500</v>
      </c>
      <c r="Q15" s="18">
        <f>'Formato 6 a)'!C22</f>
        <v>15293</v>
      </c>
      <c r="R15" s="18">
        <f>'Formato 6 a)'!D22</f>
        <v>16793</v>
      </c>
      <c r="S15" s="18">
        <f>'Formato 6 a)'!E22</f>
        <v>14394.29</v>
      </c>
      <c r="T15" s="18">
        <f>'Formato 6 a)'!F22</f>
        <v>14394.29</v>
      </c>
      <c r="U15" s="18">
        <f>'Formato 6 a)'!G22</f>
        <v>2398.7099999999991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37500</v>
      </c>
      <c r="Q17" s="18">
        <f>'Formato 6 a)'!C24</f>
        <v>5501</v>
      </c>
      <c r="R17" s="18">
        <f>'Formato 6 a)'!D24</f>
        <v>43001</v>
      </c>
      <c r="S17" s="18">
        <f>'Formato 6 a)'!E24</f>
        <v>43000.67</v>
      </c>
      <c r="T17" s="18">
        <f>'Formato 6 a)'!F24</f>
        <v>43000.67</v>
      </c>
      <c r="U17" s="18">
        <f>'Formato 6 a)'!G24</f>
        <v>0.33000000000174623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83</v>
      </c>
      <c r="R20" s="18">
        <f>'Formato 6 a)'!D27</f>
        <v>10083</v>
      </c>
      <c r="S20" s="18">
        <f>'Formato 6 a)'!E27</f>
        <v>4163.6500000000005</v>
      </c>
      <c r="T20" s="18">
        <f>'Formato 6 a)'!F27</f>
        <v>4163.6500000000005</v>
      </c>
      <c r="U20" s="18">
        <f>'Formato 6 a)'!G27</f>
        <v>5919.3499999999995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900396.21771351097</v>
      </c>
      <c r="Q21" s="18">
        <f>'Formato 6 a)'!C28</f>
        <v>129293.26000000001</v>
      </c>
      <c r="R21" s="18">
        <f>'Formato 6 a)'!D28</f>
        <v>1029689.477713511</v>
      </c>
      <c r="S21" s="18">
        <f>'Formato 6 a)'!E28</f>
        <v>951282.35000000009</v>
      </c>
      <c r="T21" s="18">
        <f>'Formato 6 a)'!F28</f>
        <v>951282.35000000009</v>
      </c>
      <c r="U21" s="18">
        <f>'Formato 6 a)'!G28</f>
        <v>78407.127713511029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88000</v>
      </c>
      <c r="Q22" s="18">
        <f>'Formato 6 a)'!C29</f>
        <v>-14849</v>
      </c>
      <c r="R22" s="18">
        <f>'Formato 6 a)'!D29</f>
        <v>73151</v>
      </c>
      <c r="S22" s="18">
        <f>'Formato 6 a)'!E29</f>
        <v>71898.859999999986</v>
      </c>
      <c r="T22" s="18">
        <f>'Formato 6 a)'!F29</f>
        <v>71898.859999999986</v>
      </c>
      <c r="U22" s="18">
        <f>'Formato 6 a)'!G29</f>
        <v>1252.140000000014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5000</v>
      </c>
      <c r="Q23" s="18">
        <f>'Formato 6 a)'!C30</f>
        <v>8000</v>
      </c>
      <c r="R23" s="18">
        <f>'Formato 6 a)'!D30</f>
        <v>13000</v>
      </c>
      <c r="S23" s="18">
        <f>'Formato 6 a)'!E30</f>
        <v>12876</v>
      </c>
      <c r="T23" s="18">
        <f>'Formato 6 a)'!F30</f>
        <v>12876</v>
      </c>
      <c r="U23" s="18">
        <f>'Formato 6 a)'!G30</f>
        <v>124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394900</v>
      </c>
      <c r="Q24" s="18">
        <f>'Formato 6 a)'!C31</f>
        <v>-8133</v>
      </c>
      <c r="R24" s="18">
        <f>'Formato 6 a)'!D31</f>
        <v>386767</v>
      </c>
      <c r="S24" s="18">
        <f>'Formato 6 a)'!E31</f>
        <v>380254.52</v>
      </c>
      <c r="T24" s="18">
        <f>'Formato 6 a)'!F31</f>
        <v>380254.52</v>
      </c>
      <c r="U24" s="18">
        <f>'Formato 6 a)'!G31</f>
        <v>6512.4799999999814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31000</v>
      </c>
      <c r="Q25" s="18">
        <f>'Formato 6 a)'!C32</f>
        <v>-1273</v>
      </c>
      <c r="R25" s="18">
        <f>'Formato 6 a)'!D32</f>
        <v>29727</v>
      </c>
      <c r="S25" s="18">
        <f>'Formato 6 a)'!E32</f>
        <v>27731.71</v>
      </c>
      <c r="T25" s="18">
        <f>'Formato 6 a)'!F32</f>
        <v>27731.71</v>
      </c>
      <c r="U25" s="18">
        <f>'Formato 6 a)'!G32</f>
        <v>1995.2900000000009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41500</v>
      </c>
      <c r="Q26" s="18">
        <f>'Formato 6 a)'!C33</f>
        <v>500</v>
      </c>
      <c r="R26" s="18">
        <f>'Formato 6 a)'!D33</f>
        <v>42000</v>
      </c>
      <c r="S26" s="18">
        <f>'Formato 6 a)'!E33</f>
        <v>28969.75</v>
      </c>
      <c r="T26" s="18">
        <f>'Formato 6 a)'!F33</f>
        <v>28969.75</v>
      </c>
      <c r="U26" s="18">
        <f>'Formato 6 a)'!G33</f>
        <v>13030.25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116000</v>
      </c>
      <c r="Q27" s="18">
        <f>'Formato 6 a)'!C34</f>
        <v>141004.72</v>
      </c>
      <c r="R27" s="18">
        <f>'Formato 6 a)'!D34</f>
        <v>257004.72</v>
      </c>
      <c r="S27" s="18">
        <f>'Formato 6 a)'!E34</f>
        <v>239504.74</v>
      </c>
      <c r="T27" s="18">
        <f>'Formato 6 a)'!F34</f>
        <v>239504.74</v>
      </c>
      <c r="U27" s="18">
        <f>'Formato 6 a)'!G34</f>
        <v>17499.98000000001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54509</v>
      </c>
      <c r="R28" s="18">
        <f>'Formato 6 a)'!D35</f>
        <v>64009</v>
      </c>
      <c r="S28" s="18">
        <f>'Formato 6 a)'!E35</f>
        <v>41154.800000000003</v>
      </c>
      <c r="T28" s="18">
        <f>'Formato 6 a)'!F35</f>
        <v>41154.800000000003</v>
      </c>
      <c r="U28" s="18">
        <f>'Formato 6 a)'!G35</f>
        <v>22854.199999999997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130910</v>
      </c>
      <c r="Q29" s="18">
        <f>'Formato 6 a)'!C36</f>
        <v>-50465.459999999992</v>
      </c>
      <c r="R29" s="18">
        <f>'Formato 6 a)'!D36</f>
        <v>80444.540000000008</v>
      </c>
      <c r="S29" s="18">
        <f>'Formato 6 a)'!E36</f>
        <v>70148.490000000005</v>
      </c>
      <c r="T29" s="18">
        <f>'Formato 6 a)'!F36</f>
        <v>70148.490000000005</v>
      </c>
      <c r="U29" s="18">
        <f>'Formato 6 a)'!G36</f>
        <v>10296.050000000003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83586.217713511011</v>
      </c>
      <c r="Q30" s="18">
        <f>'Formato 6 a)'!C37</f>
        <v>0</v>
      </c>
      <c r="R30" s="18">
        <f>'Formato 6 a)'!D37</f>
        <v>83586.217713511011</v>
      </c>
      <c r="S30" s="18">
        <f>'Formato 6 a)'!E37</f>
        <v>78743.48</v>
      </c>
      <c r="T30" s="18">
        <f>'Formato 6 a)'!F37</f>
        <v>78743.48</v>
      </c>
      <c r="U30" s="18">
        <f>'Formato 6 a)'!G37</f>
        <v>4842.7377135110146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951</v>
      </c>
      <c r="R31" s="18">
        <f>'Formato 6 a)'!D38</f>
        <v>951</v>
      </c>
      <c r="S31" s="18">
        <f>'Formato 6 a)'!E38</f>
        <v>0</v>
      </c>
      <c r="T31" s="18">
        <f>'Formato 6 a)'!F38</f>
        <v>0</v>
      </c>
      <c r="U31" s="18">
        <f>'Formato 6 a)'!G38</f>
        <v>951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951</v>
      </c>
      <c r="R35" s="18">
        <f>'Formato 6 a)'!D42</f>
        <v>951</v>
      </c>
      <c r="S35" s="18">
        <f>'Formato 6 a)'!E42</f>
        <v>0</v>
      </c>
      <c r="T35" s="18">
        <f>'Formato 6 a)'!F42</f>
        <v>0</v>
      </c>
      <c r="U35" s="18">
        <f>'Formato 6 a)'!G42</f>
        <v>951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21500</v>
      </c>
      <c r="Q41" s="18">
        <f>'Formato 6 a)'!C48</f>
        <v>33629</v>
      </c>
      <c r="R41" s="18">
        <f>'Formato 6 a)'!D48</f>
        <v>55129</v>
      </c>
      <c r="S41" s="18">
        <f>'Formato 6 a)'!E48</f>
        <v>54694.28</v>
      </c>
      <c r="T41" s="18">
        <f>'Formato 6 a)'!F48</f>
        <v>54694.28</v>
      </c>
      <c r="U41" s="18">
        <f>'Formato 6 a)'!G48</f>
        <v>434.72000000000298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</v>
      </c>
      <c r="Q42" s="18">
        <f>'Formato 6 a)'!C49</f>
        <v>22807</v>
      </c>
      <c r="R42" s="18">
        <f>'Formato 6 a)'!D49</f>
        <v>27807</v>
      </c>
      <c r="S42" s="18">
        <f>'Formato 6 a)'!E49</f>
        <v>27371.879999999997</v>
      </c>
      <c r="T42" s="18">
        <f>'Formato 6 a)'!F49</f>
        <v>27371.879999999997</v>
      </c>
      <c r="U42" s="18">
        <f>'Formato 6 a)'!G49</f>
        <v>435.12000000000262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3500</v>
      </c>
      <c r="Q43" s="18">
        <f>'Formato 6 a)'!C50</f>
        <v>-120</v>
      </c>
      <c r="R43" s="18">
        <f>'Formato 6 a)'!D50</f>
        <v>3380</v>
      </c>
      <c r="S43" s="18">
        <f>'Formato 6 a)'!E50</f>
        <v>3380</v>
      </c>
      <c r="T43" s="18">
        <f>'Formato 6 a)'!F50</f>
        <v>3380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8932</v>
      </c>
      <c r="R47" s="18">
        <f>'Formato 6 a)'!D54</f>
        <v>8932</v>
      </c>
      <c r="S47" s="18">
        <f>'Formato 6 a)'!E54</f>
        <v>8932</v>
      </c>
      <c r="T47" s="18">
        <f>'Formato 6 a)'!F54</f>
        <v>8932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13000</v>
      </c>
      <c r="Q50" s="18">
        <f>'Formato 6 a)'!C57</f>
        <v>2010</v>
      </c>
      <c r="R50" s="18">
        <f>'Formato 6 a)'!D57</f>
        <v>15010</v>
      </c>
      <c r="S50" s="18">
        <f>'Formato 6 a)'!E57</f>
        <v>15010.4</v>
      </c>
      <c r="T50" s="18">
        <f>'Formato 6 a)'!F57</f>
        <v>15010.4</v>
      </c>
      <c r="U50" s="18">
        <f>'Formato 6 a)'!G57</f>
        <v>-0.3999999999996362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9554704.1175970603</v>
      </c>
      <c r="Q150">
        <f>'Formato 6 a)'!C159</f>
        <v>271739.73999999982</v>
      </c>
      <c r="R150">
        <f>'Formato 6 a)'!D159</f>
        <v>9826443.8575970586</v>
      </c>
      <c r="S150">
        <f>'Formato 6 a)'!E159</f>
        <v>9360124.4399999995</v>
      </c>
      <c r="T150">
        <f>'Formato 6 a)'!F159</f>
        <v>9360124.4399999995</v>
      </c>
      <c r="U150">
        <f>'Formato 6 a)'!G159</f>
        <v>466319.41759706027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topLeftCell="A8" zoomScale="90" zoomScaleNormal="90" workbookViewId="0">
      <selection activeCell="E20" sqref="E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1" t="s">
        <v>3290</v>
      </c>
      <c r="B1" s="181"/>
      <c r="C1" s="181"/>
      <c r="D1" s="181"/>
      <c r="E1" s="181"/>
      <c r="F1" s="181"/>
      <c r="G1" s="181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431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0</v>
      </c>
      <c r="B7" s="179" t="s">
        <v>279</v>
      </c>
      <c r="C7" s="179"/>
      <c r="D7" s="179"/>
      <c r="E7" s="179"/>
      <c r="F7" s="179"/>
      <c r="G7" s="183" t="s">
        <v>280</v>
      </c>
    </row>
    <row r="8" spans="1:7" ht="30" x14ac:dyDescent="0.25">
      <c r="A8" s="17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2"/>
    </row>
    <row r="9" spans="1:7" x14ac:dyDescent="0.25">
      <c r="A9" s="52" t="s">
        <v>440</v>
      </c>
      <c r="B9" s="59">
        <f>SUM(B10:GASTO_NE_FIN_01)</f>
        <v>9554704.1175970603</v>
      </c>
      <c r="C9" s="59">
        <f>SUM(C10:GASTO_NE_FIN_02)</f>
        <v>271739.73999999976</v>
      </c>
      <c r="D9" s="59">
        <f>SUM(D10:GASTO_NE_FIN_03)</f>
        <v>9826443.8575970586</v>
      </c>
      <c r="E9" s="59">
        <f>SUM(E10:GASTO_NE_FIN_04)</f>
        <v>9360124.4400000013</v>
      </c>
      <c r="F9" s="59">
        <f>SUM(F10:GASTO_NE_FIN_05)</f>
        <v>9360124.4400000013</v>
      </c>
      <c r="G9" s="59">
        <f>SUM(G10:GASTO_NE_FIN_06)</f>
        <v>466319.4175970573</v>
      </c>
    </row>
    <row r="10" spans="1:7" s="24" customFormat="1" x14ac:dyDescent="0.25">
      <c r="A10" s="144" t="s">
        <v>432</v>
      </c>
      <c r="B10" s="60">
        <v>9554704.1175970603</v>
      </c>
      <c r="C10" s="60">
        <v>271739.73999999976</v>
      </c>
      <c r="D10" s="60">
        <v>9826443.8575970586</v>
      </c>
      <c r="E10" s="60">
        <v>9360124.4400000013</v>
      </c>
      <c r="F10" s="60">
        <v>9360124.4400000013</v>
      </c>
      <c r="G10" s="77">
        <v>466319.4175970573</v>
      </c>
    </row>
    <row r="11" spans="1:7" s="24" customFormat="1" x14ac:dyDescent="0.2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9554704.1175970603</v>
      </c>
      <c r="C29" s="61">
        <f>GASTO_NE_T2+GASTO_E_T2</f>
        <v>271739.73999999976</v>
      </c>
      <c r="D29" s="61">
        <f>GASTO_NE_T3+GASTO_E_T3</f>
        <v>9826443.8575970586</v>
      </c>
      <c r="E29" s="61">
        <f>GASTO_NE_T4+GASTO_E_T4</f>
        <v>9360124.4400000013</v>
      </c>
      <c r="F29" s="61">
        <f>GASTO_NE_T5+GASTO_E_T5</f>
        <v>9360124.4400000013</v>
      </c>
      <c r="G29" s="61">
        <f>GASTO_NE_T6+GASTO_E_T6</f>
        <v>466319.4175970573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9554704.1175970603</v>
      </c>
      <c r="Q2" s="18">
        <f>GASTO_NE_T2</f>
        <v>271739.73999999976</v>
      </c>
      <c r="R2" s="18">
        <f>GASTO_NE_T3</f>
        <v>9826443.8575970586</v>
      </c>
      <c r="S2" s="18">
        <f>GASTO_NE_T4</f>
        <v>9360124.4400000013</v>
      </c>
      <c r="T2" s="18">
        <f>GASTO_NE_T5</f>
        <v>9360124.4400000013</v>
      </c>
      <c r="U2" s="18">
        <f>GASTO_NE_T6</f>
        <v>466319.4175970573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9554704.1175970603</v>
      </c>
      <c r="Q4" s="18">
        <f>TOTAL_E_T2</f>
        <v>271739.73999999976</v>
      </c>
      <c r="R4" s="18">
        <f>TOTAL_E_T3</f>
        <v>9826443.8575970586</v>
      </c>
      <c r="S4" s="18">
        <f>TOTAL_E_T4</f>
        <v>9360124.4400000013</v>
      </c>
      <c r="T4" s="18">
        <f>TOTAL_E_T5</f>
        <v>9360124.4400000013</v>
      </c>
      <c r="U4" s="18">
        <f>TOTAL_E_T6</f>
        <v>466319.4175970573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90" zoomScaleNormal="90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7" t="s">
        <v>3289</v>
      </c>
      <c r="B1" s="188"/>
      <c r="C1" s="188"/>
      <c r="D1" s="188"/>
      <c r="E1" s="188"/>
      <c r="F1" s="188"/>
      <c r="G1" s="188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396</v>
      </c>
      <c r="B3" s="166"/>
      <c r="C3" s="166"/>
      <c r="D3" s="166"/>
      <c r="E3" s="166"/>
      <c r="F3" s="166"/>
      <c r="G3" s="167"/>
    </row>
    <row r="4" spans="1:7" x14ac:dyDescent="0.25">
      <c r="A4" s="165" t="s">
        <v>397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66" t="s">
        <v>0</v>
      </c>
      <c r="B7" s="171" t="s">
        <v>279</v>
      </c>
      <c r="C7" s="172"/>
      <c r="D7" s="172"/>
      <c r="E7" s="172"/>
      <c r="F7" s="173"/>
      <c r="G7" s="183" t="s">
        <v>3286</v>
      </c>
    </row>
    <row r="8" spans="1:7" ht="30.75" customHeight="1" x14ac:dyDescent="0.25">
      <c r="A8" s="16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2"/>
    </row>
    <row r="9" spans="1:7" x14ac:dyDescent="0.25">
      <c r="A9" s="52" t="s">
        <v>363</v>
      </c>
      <c r="B9" s="70">
        <f>SUM(B10,B19,B27,B37)</f>
        <v>9554704.1175970603</v>
      </c>
      <c r="C9" s="70">
        <f t="shared" ref="C9:G9" si="0">SUM(C10,C19,C27,C37)</f>
        <v>271739.73999999976</v>
      </c>
      <c r="D9" s="70">
        <f t="shared" si="0"/>
        <v>9826443.8575970586</v>
      </c>
      <c r="E9" s="70">
        <f t="shared" si="0"/>
        <v>9360124.4400000032</v>
      </c>
      <c r="F9" s="70">
        <f t="shared" si="0"/>
        <v>9360124.4400000032</v>
      </c>
      <c r="G9" s="70">
        <f t="shared" si="0"/>
        <v>466319.41759706021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9554704.1175970603</v>
      </c>
      <c r="C19" s="71">
        <f t="shared" ref="C19:F19" si="3">SUM(C20:C26)</f>
        <v>271739.73999999976</v>
      </c>
      <c r="D19" s="71">
        <f t="shared" si="3"/>
        <v>9826443.8575970586</v>
      </c>
      <c r="E19" s="71">
        <f t="shared" si="3"/>
        <v>9360124.4400000032</v>
      </c>
      <c r="F19" s="71">
        <f t="shared" si="3"/>
        <v>9360124.4400000032</v>
      </c>
      <c r="G19" s="71">
        <f>SUM(G20:G26)</f>
        <v>466319.41759706021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5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9554704.1175970603</v>
      </c>
      <c r="C26" s="157">
        <v>271739.73999999976</v>
      </c>
      <c r="D26" s="157">
        <v>9826443.8575970586</v>
      </c>
      <c r="E26" s="157">
        <v>9360124.4400000032</v>
      </c>
      <c r="F26" s="157">
        <v>9360124.4400000032</v>
      </c>
      <c r="G26" s="72">
        <v>466319.41759706021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9554704.1175970603</v>
      </c>
      <c r="C77" s="73">
        <f t="shared" ref="C77:F77" si="18">C43+C9</f>
        <v>271739.73999999976</v>
      </c>
      <c r="D77" s="73">
        <f t="shared" si="18"/>
        <v>9826443.8575970586</v>
      </c>
      <c r="E77" s="73">
        <f t="shared" si="18"/>
        <v>9360124.4400000032</v>
      </c>
      <c r="F77" s="73">
        <f t="shared" si="18"/>
        <v>9360124.4400000032</v>
      </c>
      <c r="G77" s="73">
        <f>G43+G9</f>
        <v>466319.41759706021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9554704.1175970603</v>
      </c>
      <c r="Q2" s="18">
        <f>'Formato 6 c)'!C9</f>
        <v>271739.73999999976</v>
      </c>
      <c r="R2" s="18">
        <f>'Formato 6 c)'!D9</f>
        <v>9826443.8575970586</v>
      </c>
      <c r="S2" s="18">
        <f>'Formato 6 c)'!E9</f>
        <v>9360124.4400000032</v>
      </c>
      <c r="T2" s="18">
        <f>'Formato 6 c)'!F9</f>
        <v>9360124.4400000032</v>
      </c>
      <c r="U2" s="18">
        <f>'Formato 6 c)'!G9</f>
        <v>466319.41759706021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9554704.1175970603</v>
      </c>
      <c r="Q12" s="18">
        <f>'Formato 6 c)'!C19</f>
        <v>271739.73999999976</v>
      </c>
      <c r="R12" s="18">
        <f>'Formato 6 c)'!D19</f>
        <v>9826443.8575970586</v>
      </c>
      <c r="S12" s="18">
        <f>'Formato 6 c)'!E19</f>
        <v>9360124.4400000032</v>
      </c>
      <c r="T12" s="18">
        <f>'Formato 6 c)'!F19</f>
        <v>9360124.4400000032</v>
      </c>
      <c r="U12" s="18">
        <f>'Formato 6 c)'!G19</f>
        <v>466319.41759706021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9554704.1175970603</v>
      </c>
      <c r="Q19" s="18">
        <f>'Formato 6 c)'!C26</f>
        <v>271739.73999999976</v>
      </c>
      <c r="R19" s="18">
        <f>'Formato 6 c)'!D26</f>
        <v>9826443.8575970586</v>
      </c>
      <c r="S19" s="18">
        <f>'Formato 6 c)'!E26</f>
        <v>9360124.4400000032</v>
      </c>
      <c r="T19" s="18">
        <f>'Formato 6 c)'!F26</f>
        <v>9360124.4400000032</v>
      </c>
      <c r="U19" s="18">
        <f>'Formato 6 c)'!G26</f>
        <v>466319.41759706021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9554704.1175970603</v>
      </c>
      <c r="Q68" s="18">
        <f>'Formato 6 c)'!C77</f>
        <v>271739.73999999976</v>
      </c>
      <c r="R68" s="18">
        <f>'Formato 6 c)'!D77</f>
        <v>9826443.8575970586</v>
      </c>
      <c r="S68" s="18">
        <f>'Formato 6 c)'!E77</f>
        <v>9360124.4400000032</v>
      </c>
      <c r="T68" s="18">
        <f>'Formato 6 c)'!F77</f>
        <v>9360124.4400000032</v>
      </c>
      <c r="U68" s="18">
        <f>'Formato 6 c)'!G77</f>
        <v>466319.41759706021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LAS MUJERES, Gobierno del Estado de Guanajuato</v>
      </c>
    </row>
    <row r="7" spans="2:3" x14ac:dyDescent="0.25">
      <c r="C7" t="str">
        <f>CONCATENATE(ENTE_PUBLICO," (a)")</f>
        <v>INSTITUTO MUNICIPAL DE LAS MUJERES,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4</v>
      </c>
    </row>
    <row r="16" spans="2:3" x14ac:dyDescent="0.2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opLeftCell="A3" zoomScale="70" zoomScaleNormal="70" workbookViewId="0">
      <selection activeCell="D22" sqref="D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1" t="s">
        <v>3287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8" t="s">
        <v>277</v>
      </c>
      <c r="B3" s="169"/>
      <c r="C3" s="169"/>
      <c r="D3" s="169"/>
      <c r="E3" s="169"/>
      <c r="F3" s="169"/>
      <c r="G3" s="170"/>
    </row>
    <row r="4" spans="1:7" x14ac:dyDescent="0.25">
      <c r="A4" s="168" t="s">
        <v>399</v>
      </c>
      <c r="B4" s="169"/>
      <c r="C4" s="169"/>
      <c r="D4" s="169"/>
      <c r="E4" s="169"/>
      <c r="F4" s="169"/>
      <c r="G4" s="170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361</v>
      </c>
      <c r="B7" s="182" t="s">
        <v>279</v>
      </c>
      <c r="C7" s="182"/>
      <c r="D7" s="182"/>
      <c r="E7" s="182"/>
      <c r="F7" s="182"/>
      <c r="G7" s="182" t="s">
        <v>280</v>
      </c>
    </row>
    <row r="8" spans="1:7" ht="29.25" customHeight="1" x14ac:dyDescent="0.25">
      <c r="A8" s="17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9"/>
    </row>
    <row r="9" spans="1:7" x14ac:dyDescent="0.25">
      <c r="A9" s="52" t="s">
        <v>400</v>
      </c>
      <c r="B9" s="66">
        <f>SUM(B10,B11,B12,B15,B16,B19)</f>
        <v>8520307.8998835497</v>
      </c>
      <c r="C9" s="66">
        <f t="shared" ref="C9:F9" si="0">SUM(C10,C11,C12,C15,C16,C19)</f>
        <v>0</v>
      </c>
      <c r="D9" s="66">
        <f t="shared" si="0"/>
        <v>8569165.179883549</v>
      </c>
      <c r="E9" s="66">
        <f t="shared" si="0"/>
        <v>8192506.6000000006</v>
      </c>
      <c r="F9" s="66">
        <f t="shared" si="0"/>
        <v>8192506.6000000006</v>
      </c>
      <c r="G9" s="66">
        <f>SUM(G10,G11,G12,G15,G16,G19)</f>
        <v>376658.57988354925</v>
      </c>
    </row>
    <row r="10" spans="1:7" x14ac:dyDescent="0.25">
      <c r="A10" s="53" t="s">
        <v>401</v>
      </c>
      <c r="B10" s="149">
        <v>8520307.8998835497</v>
      </c>
      <c r="C10" s="149">
        <v>0</v>
      </c>
      <c r="D10" s="149">
        <v>8569165.179883549</v>
      </c>
      <c r="E10" s="149">
        <v>8192506.6000000006</v>
      </c>
      <c r="F10" s="149">
        <v>8192506.6000000006</v>
      </c>
      <c r="G10" s="149">
        <v>376658.57988354925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8520307.8998835497</v>
      </c>
      <c r="C33" s="66">
        <f t="shared" ref="C33:G33" si="9">C21+C9</f>
        <v>0</v>
      </c>
      <c r="D33" s="66">
        <f t="shared" si="9"/>
        <v>8569165.179883549</v>
      </c>
      <c r="E33" s="66">
        <f t="shared" si="9"/>
        <v>8192506.6000000006</v>
      </c>
      <c r="F33" s="66">
        <f t="shared" si="9"/>
        <v>8192506.6000000006</v>
      </c>
      <c r="G33" s="66">
        <f t="shared" si="9"/>
        <v>376658.57988354925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0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8520307.8998835497</v>
      </c>
      <c r="Q2" s="18">
        <f>'Formato 6 d)'!C9</f>
        <v>0</v>
      </c>
      <c r="R2" s="18">
        <f>'Formato 6 d)'!D9</f>
        <v>8569165.179883549</v>
      </c>
      <c r="S2" s="18">
        <f>'Formato 6 d)'!E9</f>
        <v>8192506.6000000006</v>
      </c>
      <c r="T2" s="18">
        <f>'Formato 6 d)'!F9</f>
        <v>8192506.6000000006</v>
      </c>
      <c r="U2" s="18">
        <f>'Formato 6 d)'!G9</f>
        <v>376658.57988354925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8520307.8998835497</v>
      </c>
      <c r="Q3" s="18">
        <f>'Formato 6 d)'!C10</f>
        <v>0</v>
      </c>
      <c r="R3" s="18">
        <f>'Formato 6 d)'!D10</f>
        <v>8569165.179883549</v>
      </c>
      <c r="S3" s="18">
        <f>'Formato 6 d)'!E10</f>
        <v>8192506.6000000006</v>
      </c>
      <c r="T3" s="18">
        <f>'Formato 6 d)'!F10</f>
        <v>8192506.6000000006</v>
      </c>
      <c r="U3" s="18">
        <f>'Formato 6 d)'!G10</f>
        <v>376658.57988354925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8520307.8998835497</v>
      </c>
      <c r="Q24" s="18">
        <f>'Formato 6 d)'!C33</f>
        <v>0</v>
      </c>
      <c r="R24" s="18">
        <f>'Formato 6 d)'!D33</f>
        <v>8569165.179883549</v>
      </c>
      <c r="S24" s="18">
        <f>'Formato 6 d)'!E33</f>
        <v>8192506.6000000006</v>
      </c>
      <c r="T24" s="18">
        <f>'Formato 6 d)'!F33</f>
        <v>8192506.6000000006</v>
      </c>
      <c r="U24" s="18">
        <f>'Formato 6 d)'!G33</f>
        <v>376658.57988354925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9" sqref="B1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80" t="s">
        <v>413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414</v>
      </c>
      <c r="B3" s="166"/>
      <c r="C3" s="166"/>
      <c r="D3" s="166"/>
      <c r="E3" s="166"/>
      <c r="F3" s="166"/>
      <c r="G3" s="167"/>
    </row>
    <row r="4" spans="1:7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x14ac:dyDescent="0.25">
      <c r="A6" s="177" t="s">
        <v>3288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ht="48" customHeight="1" x14ac:dyDescent="0.25">
      <c r="A7" s="178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421</v>
      </c>
      <c r="B8" s="59">
        <f>SUM(B9:B20)</f>
        <v>10032439.283999998</v>
      </c>
      <c r="C8" s="59">
        <f t="shared" ref="C8:G8" si="0">SUM(C9:C20)</f>
        <v>10534061.248199999</v>
      </c>
      <c r="D8" s="59">
        <f t="shared" si="0"/>
        <v>11060764.31061</v>
      </c>
      <c r="E8" s="59">
        <f t="shared" si="0"/>
        <v>11613802.5261405</v>
      </c>
      <c r="F8" s="59">
        <f t="shared" si="0"/>
        <v>12194492.652447525</v>
      </c>
      <c r="G8" s="59">
        <f t="shared" si="0"/>
        <v>12804217.285069901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>
        <v>10032439.283999998</v>
      </c>
      <c r="C19" s="60">
        <v>10534061.248199999</v>
      </c>
      <c r="D19" s="60">
        <v>11060764.31061</v>
      </c>
      <c r="E19" s="60">
        <v>11613802.5261405</v>
      </c>
      <c r="F19" s="60">
        <v>12194492.652447525</v>
      </c>
      <c r="G19" s="60">
        <v>12804217.285069901</v>
      </c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10032439.283999998</v>
      </c>
      <c r="C32" s="61">
        <f t="shared" ref="C32:F32" si="3">C29+C22+C8</f>
        <v>10534061.248199999</v>
      </c>
      <c r="D32" s="61">
        <f t="shared" si="3"/>
        <v>11060764.31061</v>
      </c>
      <c r="E32" s="61">
        <f t="shared" si="3"/>
        <v>11613802.5261405</v>
      </c>
      <c r="F32" s="61">
        <f t="shared" si="3"/>
        <v>12194492.652447525</v>
      </c>
      <c r="G32" s="61">
        <f>G29+G22+G8</f>
        <v>12804217.285069901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10032439.283999998</v>
      </c>
      <c r="Q2" s="18">
        <f>'Formato 7 a)'!C8</f>
        <v>10534061.248199999</v>
      </c>
      <c r="R2" s="18">
        <f>'Formato 7 a)'!D8</f>
        <v>11060764.31061</v>
      </c>
      <c r="S2" s="18">
        <f>'Formato 7 a)'!E8</f>
        <v>11613802.5261405</v>
      </c>
      <c r="T2" s="18">
        <f>'Formato 7 a)'!F8</f>
        <v>12194492.652447525</v>
      </c>
      <c r="U2" s="18">
        <f>'Formato 7 a)'!G8</f>
        <v>12804217.285069901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10032439.283999998</v>
      </c>
      <c r="Q13" s="18">
        <f>'Formato 7 a)'!C19</f>
        <v>10534061.248199999</v>
      </c>
      <c r="R13" s="18">
        <f>'Formato 7 a)'!D19</f>
        <v>11060764.31061</v>
      </c>
      <c r="S13" s="18">
        <f>'Formato 7 a)'!E19</f>
        <v>11613802.5261405</v>
      </c>
      <c r="T13" s="18">
        <f>'Formato 7 a)'!F19</f>
        <v>12194492.652447525</v>
      </c>
      <c r="U13" s="18">
        <f>'Formato 7 a)'!G19</f>
        <v>12804217.285069901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10032439.283999998</v>
      </c>
      <c r="Q23" s="18">
        <f>'Formato 7 a)'!C32</f>
        <v>10534061.248199999</v>
      </c>
      <c r="R23" s="18">
        <f>'Formato 7 a)'!D32</f>
        <v>11060764.31061</v>
      </c>
      <c r="S23" s="18">
        <f>'Formato 7 a)'!E32</f>
        <v>11613802.5261405</v>
      </c>
      <c r="T23" s="18">
        <f>'Formato 7 a)'!F32</f>
        <v>12194492.652447525</v>
      </c>
      <c r="U23" s="18">
        <f>'Formato 7 a)'!G32</f>
        <v>12804217.285069901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80" t="s">
        <v>451</v>
      </c>
      <c r="B1" s="180"/>
      <c r="C1" s="180"/>
      <c r="D1" s="180"/>
      <c r="E1" s="180"/>
      <c r="F1" s="180"/>
      <c r="G1" s="180"/>
    </row>
    <row r="2" spans="1:7" customFormat="1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customFormat="1" x14ac:dyDescent="0.25">
      <c r="A3" s="165" t="s">
        <v>452</v>
      </c>
      <c r="B3" s="166"/>
      <c r="C3" s="166"/>
      <c r="D3" s="166"/>
      <c r="E3" s="166"/>
      <c r="F3" s="166"/>
      <c r="G3" s="167"/>
    </row>
    <row r="4" spans="1:7" customFormat="1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customFormat="1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customFormat="1" x14ac:dyDescent="0.25">
      <c r="A6" s="192" t="s">
        <v>3142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customFormat="1" ht="48" customHeight="1" x14ac:dyDescent="0.25">
      <c r="A7" s="193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453</v>
      </c>
      <c r="B8" s="59">
        <f>SUM(B9:B17)</f>
        <v>9959219.5125912391</v>
      </c>
      <c r="C8" s="59">
        <f t="shared" ref="C8:G8" si="0">SUM(C9:C17)</f>
        <v>10457180.488220802</v>
      </c>
      <c r="D8" s="59">
        <f t="shared" si="0"/>
        <v>10980039.512631843</v>
      </c>
      <c r="E8" s="59">
        <f t="shared" si="0"/>
        <v>11529041.488263434</v>
      </c>
      <c r="F8" s="59">
        <f t="shared" si="0"/>
        <v>12105493.562676607</v>
      </c>
      <c r="G8" s="59">
        <f t="shared" si="0"/>
        <v>12710768.240810437</v>
      </c>
    </row>
    <row r="9" spans="1:7" x14ac:dyDescent="0.25">
      <c r="A9" s="53" t="s">
        <v>454</v>
      </c>
      <c r="B9" s="60">
        <v>8946323.2948777284</v>
      </c>
      <c r="C9" s="60">
        <v>9393639.4596216157</v>
      </c>
      <c r="D9" s="60">
        <v>9863321.4326026961</v>
      </c>
      <c r="E9" s="60">
        <v>10356487.504232831</v>
      </c>
      <c r="F9" s="60">
        <v>10874311.879444472</v>
      </c>
      <c r="G9" s="60">
        <v>11418027.473416697</v>
      </c>
    </row>
    <row r="10" spans="1:7" x14ac:dyDescent="0.25">
      <c r="A10" s="53" t="s">
        <v>455</v>
      </c>
      <c r="B10" s="60">
        <v>112500</v>
      </c>
      <c r="C10" s="60">
        <v>118125</v>
      </c>
      <c r="D10" s="60">
        <v>124031.25</v>
      </c>
      <c r="E10" s="60">
        <v>130232.8125</v>
      </c>
      <c r="F10" s="60">
        <v>136744.453125</v>
      </c>
      <c r="G10" s="60">
        <v>143581.67578125</v>
      </c>
    </row>
    <row r="11" spans="1:7" x14ac:dyDescent="0.25">
      <c r="A11" s="53" t="s">
        <v>456</v>
      </c>
      <c r="B11" s="60">
        <v>900396.21771351097</v>
      </c>
      <c r="C11" s="60">
        <v>945416.02859918657</v>
      </c>
      <c r="D11" s="60">
        <v>992686.83002914593</v>
      </c>
      <c r="E11" s="60">
        <v>1042321.1715306033</v>
      </c>
      <c r="F11" s="60">
        <v>1094437.2301071335</v>
      </c>
      <c r="G11" s="60">
        <v>1149159.0916124901</v>
      </c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9959219.5125912391</v>
      </c>
      <c r="C30" s="61">
        <f t="shared" ref="C30:G30" si="2">C8+C19</f>
        <v>10457180.488220802</v>
      </c>
      <c r="D30" s="61">
        <f t="shared" si="2"/>
        <v>10980039.512631843</v>
      </c>
      <c r="E30" s="61">
        <f t="shared" si="2"/>
        <v>11529041.488263434</v>
      </c>
      <c r="F30" s="61">
        <f t="shared" si="2"/>
        <v>12105493.562676607</v>
      </c>
      <c r="G30" s="61">
        <f t="shared" si="2"/>
        <v>12710768.240810437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9959219.5125912391</v>
      </c>
      <c r="Q2" s="18">
        <f>'Formato 7 b)'!C8</f>
        <v>10457180.488220802</v>
      </c>
      <c r="R2" s="18">
        <f>'Formato 7 b)'!D8</f>
        <v>10980039.512631843</v>
      </c>
      <c r="S2" s="18">
        <f>'Formato 7 b)'!E8</f>
        <v>11529041.488263434</v>
      </c>
      <c r="T2" s="18">
        <f>'Formato 7 b)'!F8</f>
        <v>12105493.562676607</v>
      </c>
      <c r="U2" s="18">
        <f>'Formato 7 b)'!G8</f>
        <v>12710768.240810437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8946323.2948777284</v>
      </c>
      <c r="Q3" s="18">
        <f>'Formato 7 b)'!C9</f>
        <v>9393639.4596216157</v>
      </c>
      <c r="R3" s="18">
        <f>'Formato 7 b)'!D9</f>
        <v>9863321.4326026961</v>
      </c>
      <c r="S3" s="18">
        <f>'Formato 7 b)'!E9</f>
        <v>10356487.504232831</v>
      </c>
      <c r="T3" s="18">
        <f>'Formato 7 b)'!F9</f>
        <v>10874311.879444472</v>
      </c>
      <c r="U3" s="18">
        <f>'Formato 7 b)'!G9</f>
        <v>11418027.473416697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112500</v>
      </c>
      <c r="Q4" s="18">
        <f>'Formato 7 b)'!C10</f>
        <v>118125</v>
      </c>
      <c r="R4" s="18">
        <f>'Formato 7 b)'!D10</f>
        <v>124031.25</v>
      </c>
      <c r="S4" s="18">
        <f>'Formato 7 b)'!E10</f>
        <v>130232.8125</v>
      </c>
      <c r="T4" s="18">
        <f>'Formato 7 b)'!F10</f>
        <v>136744.453125</v>
      </c>
      <c r="U4" s="18">
        <f>'Formato 7 b)'!G10</f>
        <v>143581.67578125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900396.21771351097</v>
      </c>
      <c r="Q5" s="18">
        <f>'Formato 7 b)'!C11</f>
        <v>945416.02859918657</v>
      </c>
      <c r="R5" s="18">
        <f>'Formato 7 b)'!D11</f>
        <v>992686.83002914593</v>
      </c>
      <c r="S5" s="18">
        <f>'Formato 7 b)'!E11</f>
        <v>1042321.1715306033</v>
      </c>
      <c r="T5" s="18">
        <f>'Formato 7 b)'!F11</f>
        <v>1094437.2301071335</v>
      </c>
      <c r="U5" s="18">
        <f>'Formato 7 b)'!G11</f>
        <v>1149159.0916124901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9959219.5125912391</v>
      </c>
      <c r="Q22" s="18">
        <f>'Formato 7 b)'!C30</f>
        <v>10457180.488220802</v>
      </c>
      <c r="R22" s="18">
        <f>'Formato 7 b)'!D30</f>
        <v>10980039.512631843</v>
      </c>
      <c r="S22" s="18">
        <f>'Formato 7 b)'!E30</f>
        <v>11529041.488263434</v>
      </c>
      <c r="T22" s="18">
        <f>'Formato 7 b)'!F30</f>
        <v>12105493.562676607</v>
      </c>
      <c r="U22" s="18">
        <f>'Formato 7 b)'!G30</f>
        <v>12710768.240810437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60" zoomScaleNormal="60" workbookViewId="0">
      <selection activeCell="A5" sqref="A5:A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466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467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7" t="s">
        <v>3288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198"/>
      <c r="B6" s="196"/>
      <c r="C6" s="196"/>
      <c r="D6" s="196"/>
      <c r="E6" s="196"/>
      <c r="F6" s="196"/>
      <c r="G6" s="88" t="s">
        <v>3294</v>
      </c>
    </row>
    <row r="7" spans="1:7" x14ac:dyDescent="0.25">
      <c r="A7" s="52" t="s">
        <v>468</v>
      </c>
      <c r="B7" s="59">
        <f>SUM(B8:B19)</f>
        <v>9047607.2200000007</v>
      </c>
      <c r="C7" s="59">
        <f t="shared" ref="C7:G7" si="0">SUM(C8:C19)</f>
        <v>13485432.109999999</v>
      </c>
      <c r="D7" s="59">
        <f t="shared" si="0"/>
        <v>8737277.120000001</v>
      </c>
      <c r="E7" s="59">
        <f t="shared" si="0"/>
        <v>9062089.0899999999</v>
      </c>
      <c r="F7" s="59">
        <f t="shared" si="0"/>
        <v>10915161.799999999</v>
      </c>
      <c r="G7" s="59">
        <f t="shared" si="0"/>
        <v>9825493.0600000005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8445078.6699999999</v>
      </c>
      <c r="C17" s="60">
        <v>13417205</v>
      </c>
      <c r="D17" s="60">
        <v>8693077.120000001</v>
      </c>
      <c r="E17" s="60">
        <v>9018966.9499999993</v>
      </c>
      <c r="F17" s="60">
        <v>10877361.799999999</v>
      </c>
      <c r="G17" s="60">
        <v>9754704.0800000001</v>
      </c>
    </row>
    <row r="18" spans="1:7" x14ac:dyDescent="0.25">
      <c r="A18" s="53" t="s">
        <v>478</v>
      </c>
      <c r="B18" s="60"/>
      <c r="C18" s="145"/>
      <c r="D18" s="60"/>
      <c r="E18" s="60"/>
      <c r="F18" s="150"/>
      <c r="G18" s="150"/>
    </row>
    <row r="19" spans="1:7" x14ac:dyDescent="0.25">
      <c r="A19" s="53" t="s">
        <v>479</v>
      </c>
      <c r="B19" s="60">
        <v>602528.55000000005</v>
      </c>
      <c r="C19" s="60">
        <v>68227.11</v>
      </c>
      <c r="D19" s="60">
        <v>44200</v>
      </c>
      <c r="E19" s="60">
        <v>43122.14</v>
      </c>
      <c r="F19" s="60">
        <v>37800</v>
      </c>
      <c r="G19" s="145">
        <f>+'[1]EDO ACTIVIDADES'!$D$8</f>
        <v>70788.98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9047607.2200000007</v>
      </c>
      <c r="C31" s="61">
        <f t="shared" ref="C31:G31" si="3">C7+C21+C28</f>
        <v>13485432.109999999</v>
      </c>
      <c r="D31" s="61">
        <f t="shared" si="3"/>
        <v>8737277.120000001</v>
      </c>
      <c r="E31" s="61">
        <f t="shared" si="3"/>
        <v>9062089.0899999999</v>
      </c>
      <c r="F31" s="61">
        <f t="shared" si="3"/>
        <v>10915161.799999999</v>
      </c>
      <c r="G31" s="61">
        <f t="shared" si="3"/>
        <v>9825493.0600000005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4" t="s">
        <v>3292</v>
      </c>
      <c r="B39" s="194"/>
      <c r="C39" s="194"/>
      <c r="D39" s="194"/>
      <c r="E39" s="194"/>
      <c r="F39" s="194"/>
      <c r="G39" s="194"/>
    </row>
    <row r="40" spans="1:7" ht="15" customHeight="1" x14ac:dyDescent="0.25">
      <c r="A40" s="194" t="s">
        <v>3293</v>
      </c>
      <c r="B40" s="194"/>
      <c r="C40" s="194"/>
      <c r="D40" s="194"/>
      <c r="E40" s="194"/>
      <c r="F40" s="194"/>
      <c r="G40" s="194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9047607.2200000007</v>
      </c>
      <c r="Q2" s="18">
        <f>'Formato 7 c)'!C7</f>
        <v>13485432.109999999</v>
      </c>
      <c r="R2" s="18">
        <f>'Formato 7 c)'!D7</f>
        <v>8737277.120000001</v>
      </c>
      <c r="S2" s="18">
        <f>'Formato 7 c)'!E7</f>
        <v>9062089.0899999999</v>
      </c>
      <c r="T2" s="18">
        <f>'Formato 7 c)'!F7</f>
        <v>10915161.799999999</v>
      </c>
      <c r="U2" s="18">
        <f>'Formato 7 c)'!G7</f>
        <v>9825493.0600000005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8445078.6699999999</v>
      </c>
      <c r="Q12" s="18">
        <f>'Formato 7 c)'!C17</f>
        <v>13417205</v>
      </c>
      <c r="R12" s="18">
        <f>'Formato 7 c)'!D17</f>
        <v>8693077.120000001</v>
      </c>
      <c r="S12" s="18">
        <f>'Formato 7 c)'!E17</f>
        <v>9018966.9499999993</v>
      </c>
      <c r="T12" s="18">
        <f>'Formato 7 c)'!F17</f>
        <v>10877361.799999999</v>
      </c>
      <c r="U12" s="18">
        <f>'Formato 7 c)'!G17</f>
        <v>9754704.0800000001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602528.55000000005</v>
      </c>
      <c r="Q14" s="18">
        <f>'Formato 7 c)'!C19</f>
        <v>68227.11</v>
      </c>
      <c r="R14" s="18">
        <f>'Formato 7 c)'!D19</f>
        <v>44200</v>
      </c>
      <c r="S14" s="18">
        <f>'Formato 7 c)'!E19</f>
        <v>43122.14</v>
      </c>
      <c r="T14" s="18">
        <f>'Formato 7 c)'!F19</f>
        <v>37800</v>
      </c>
      <c r="U14" s="18">
        <f>'Formato 7 c)'!G19</f>
        <v>70788.98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9047607.2200000007</v>
      </c>
      <c r="Q23" s="18">
        <f>'Formato 7 c)'!C31</f>
        <v>13485432.109999999</v>
      </c>
      <c r="R23" s="18">
        <f>'Formato 7 c)'!D31</f>
        <v>8737277.120000001</v>
      </c>
      <c r="S23" s="18">
        <f>'Formato 7 c)'!E31</f>
        <v>9062089.0899999999</v>
      </c>
      <c r="T23" s="18">
        <f>'Formato 7 c)'!F31</f>
        <v>10915161.799999999</v>
      </c>
      <c r="U23" s="18">
        <f>'Formato 7 c)'!G31</f>
        <v>9825493.0600000005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F12" sqref="F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490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491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9" t="s">
        <v>3142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200"/>
      <c r="B6" s="196"/>
      <c r="C6" s="196"/>
      <c r="D6" s="196"/>
      <c r="E6" s="196"/>
      <c r="F6" s="196"/>
      <c r="G6" s="88" t="s">
        <v>3295</v>
      </c>
    </row>
    <row r="7" spans="1:7" x14ac:dyDescent="0.25">
      <c r="A7" s="52" t="s">
        <v>492</v>
      </c>
      <c r="B7" s="59">
        <f>SUM(B8:B16)</f>
        <v>8467813.3200000003</v>
      </c>
      <c r="C7" s="59">
        <f t="shared" ref="C7:G7" si="0">SUM(C8:C16)</f>
        <v>13839419.244999997</v>
      </c>
      <c r="D7" s="59">
        <f t="shared" si="0"/>
        <v>8385101.7799999993</v>
      </c>
      <c r="E7" s="59">
        <f t="shared" si="0"/>
        <v>8392380.9000000004</v>
      </c>
      <c r="F7" s="59">
        <f t="shared" si="0"/>
        <v>10344190.600000001</v>
      </c>
      <c r="G7" s="59">
        <f t="shared" si="0"/>
        <v>9360124.459999999</v>
      </c>
    </row>
    <row r="8" spans="1:7" x14ac:dyDescent="0.25">
      <c r="A8" s="53" t="s">
        <v>454</v>
      </c>
      <c r="B8" s="60">
        <v>6125166.9100000001</v>
      </c>
      <c r="C8" s="151">
        <v>8629811.9249999989</v>
      </c>
      <c r="D8" s="145">
        <v>5531434.75</v>
      </c>
      <c r="E8" s="150">
        <v>6745664.9100000011</v>
      </c>
      <c r="F8" s="150">
        <v>8265616.04</v>
      </c>
      <c r="G8" s="150">
        <v>8192506.6199999992</v>
      </c>
    </row>
    <row r="9" spans="1:7" x14ac:dyDescent="0.25">
      <c r="A9" s="53" t="s">
        <v>455</v>
      </c>
      <c r="B9" s="60">
        <v>491377.97</v>
      </c>
      <c r="C9" s="151">
        <v>918405.43999999983</v>
      </c>
      <c r="D9" s="145">
        <v>279359.09999999998</v>
      </c>
      <c r="E9" s="150">
        <v>287551.51</v>
      </c>
      <c r="F9" s="150">
        <v>140294.34</v>
      </c>
      <c r="G9" s="150">
        <v>161641.21000000002</v>
      </c>
    </row>
    <row r="10" spans="1:7" x14ac:dyDescent="0.25">
      <c r="A10" s="53" t="s">
        <v>456</v>
      </c>
      <c r="B10" s="60">
        <v>1159462.5599999998</v>
      </c>
      <c r="C10" s="151">
        <v>2102513.4300000002</v>
      </c>
      <c r="D10" s="145">
        <v>960933.75000000023</v>
      </c>
      <c r="E10" s="150">
        <v>1337010.48</v>
      </c>
      <c r="F10" s="150">
        <v>1938280.2199999997</v>
      </c>
      <c r="G10" s="150">
        <v>951282.35000000009</v>
      </c>
    </row>
    <row r="11" spans="1:7" x14ac:dyDescent="0.25">
      <c r="A11" s="53" t="s">
        <v>457</v>
      </c>
      <c r="B11" s="60">
        <v>0</v>
      </c>
      <c r="C11" s="151">
        <v>536205.04</v>
      </c>
      <c r="D11" s="60">
        <v>0</v>
      </c>
      <c r="E11" s="60"/>
      <c r="F11" s="60"/>
      <c r="G11" s="60"/>
    </row>
    <row r="12" spans="1:7" x14ac:dyDescent="0.25">
      <c r="A12" s="53" t="s">
        <v>458</v>
      </c>
      <c r="B12" s="60">
        <v>673245.88</v>
      </c>
      <c r="C12" s="151">
        <v>1652483.4100000001</v>
      </c>
      <c r="D12" s="145">
        <v>1613374.18</v>
      </c>
      <c r="E12" s="150">
        <v>22154</v>
      </c>
      <c r="F12" s="150">
        <v>0</v>
      </c>
      <c r="G12" s="150">
        <v>54694.28</v>
      </c>
    </row>
    <row r="13" spans="1:7" x14ac:dyDescent="0.25">
      <c r="A13" s="53" t="s">
        <v>459</v>
      </c>
      <c r="B13" s="60">
        <v>18560</v>
      </c>
      <c r="C13" s="60">
        <v>0</v>
      </c>
      <c r="D13" s="60">
        <v>0</v>
      </c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8467813.3200000003</v>
      </c>
      <c r="C29" s="60">
        <f t="shared" ref="C29:G29" si="2">C7+C18</f>
        <v>13839419.244999997</v>
      </c>
      <c r="D29" s="60">
        <f t="shared" si="2"/>
        <v>8385101.7799999993</v>
      </c>
      <c r="E29" s="60">
        <f t="shared" si="2"/>
        <v>8392380.9000000004</v>
      </c>
      <c r="F29" s="60">
        <f t="shared" si="2"/>
        <v>10344190.600000001</v>
      </c>
      <c r="G29" s="60">
        <f t="shared" si="2"/>
        <v>9360124.459999999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4" t="s">
        <v>3292</v>
      </c>
      <c r="B32" s="194"/>
      <c r="C32" s="194"/>
      <c r="D32" s="194"/>
      <c r="E32" s="194"/>
      <c r="F32" s="194"/>
      <c r="G32" s="194"/>
    </row>
    <row r="33" spans="1:7" x14ac:dyDescent="0.25">
      <c r="A33" s="194" t="s">
        <v>3293</v>
      </c>
      <c r="B33" s="194"/>
      <c r="C33" s="194"/>
      <c r="D33" s="194"/>
      <c r="E33" s="194"/>
      <c r="F33" s="194"/>
      <c r="G33" s="19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8467813.3200000003</v>
      </c>
      <c r="Q2" s="18">
        <f>'Formato 7 d)'!C7</f>
        <v>13839419.244999997</v>
      </c>
      <c r="R2" s="18">
        <f>'Formato 7 d)'!D7</f>
        <v>8385101.7799999993</v>
      </c>
      <c r="S2" s="18">
        <f>'Formato 7 d)'!E7</f>
        <v>8392380.9000000004</v>
      </c>
      <c r="T2" s="18">
        <f>'Formato 7 d)'!F7</f>
        <v>10344190.600000001</v>
      </c>
      <c r="U2" s="18">
        <f>'Formato 7 d)'!G7</f>
        <v>9360124.459999999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6125166.9100000001</v>
      </c>
      <c r="Q3" s="18">
        <f>'Formato 7 d)'!C8</f>
        <v>8629811.9249999989</v>
      </c>
      <c r="R3" s="18">
        <f>'Formato 7 d)'!D8</f>
        <v>5531434.75</v>
      </c>
      <c r="S3" s="18">
        <f>'Formato 7 d)'!E8</f>
        <v>6745664.9100000011</v>
      </c>
      <c r="T3" s="18">
        <f>'Formato 7 d)'!F8</f>
        <v>8265616.04</v>
      </c>
      <c r="U3" s="18">
        <f>'Formato 7 d)'!G8</f>
        <v>8192506.6199999992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491377.97</v>
      </c>
      <c r="Q4" s="18">
        <f>'Formato 7 d)'!C9</f>
        <v>918405.43999999983</v>
      </c>
      <c r="R4" s="18">
        <f>'Formato 7 d)'!D9</f>
        <v>279359.09999999998</v>
      </c>
      <c r="S4" s="18">
        <f>'Formato 7 d)'!E9</f>
        <v>287551.51</v>
      </c>
      <c r="T4" s="18">
        <f>'Formato 7 d)'!F9</f>
        <v>140294.34</v>
      </c>
      <c r="U4" s="18">
        <f>'Formato 7 d)'!G9</f>
        <v>161641.21000000002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1159462.5599999998</v>
      </c>
      <c r="Q5" s="18">
        <f>'Formato 7 d)'!C10</f>
        <v>2102513.4300000002</v>
      </c>
      <c r="R5" s="18">
        <f>'Formato 7 d)'!D10</f>
        <v>960933.75000000023</v>
      </c>
      <c r="S5" s="18">
        <f>'Formato 7 d)'!E10</f>
        <v>1337010.48</v>
      </c>
      <c r="T5" s="18">
        <f>'Formato 7 d)'!F10</f>
        <v>1938280.2199999997</v>
      </c>
      <c r="U5" s="18">
        <f>'Formato 7 d)'!G10</f>
        <v>951282.35000000009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536205.04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673245.88</v>
      </c>
      <c r="Q7" s="18">
        <f>'Formato 7 d)'!C12</f>
        <v>1652483.4100000001</v>
      </c>
      <c r="R7" s="18">
        <f>'Formato 7 d)'!D12</f>
        <v>1613374.18</v>
      </c>
      <c r="S7" s="18">
        <f>'Formato 7 d)'!E12</f>
        <v>22154</v>
      </c>
      <c r="T7" s="18">
        <f>'Formato 7 d)'!F12</f>
        <v>0</v>
      </c>
      <c r="U7" s="18">
        <f>'Formato 7 d)'!G12</f>
        <v>54694.28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18560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8467813.3200000003</v>
      </c>
      <c r="Q22" s="18">
        <f>'Formato 7 d)'!C29</f>
        <v>13839419.244999997</v>
      </c>
      <c r="R22" s="18">
        <f>'Formato 7 d)'!D29</f>
        <v>8385101.7799999993</v>
      </c>
      <c r="S22" s="18">
        <f>'Formato 7 d)'!E29</f>
        <v>8392380.9000000004</v>
      </c>
      <c r="T22" s="18">
        <f>'Formato 7 d)'!F29</f>
        <v>10344190.600000001</v>
      </c>
      <c r="U22" s="18">
        <f>'Formato 7 d)'!G29</f>
        <v>9360124.459999999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4" t="s">
        <v>495</v>
      </c>
      <c r="B1" s="174"/>
      <c r="C1" s="174"/>
      <c r="D1" s="174"/>
      <c r="E1" s="174"/>
      <c r="F1" s="174"/>
      <c r="G1" s="111"/>
    </row>
    <row r="2" spans="1:7" x14ac:dyDescent="0.25">
      <c r="A2" s="162" t="str">
        <f>ENTE_PUBLICO</f>
        <v>INSTITUTO MUNICIPAL DE LAS MUJERES, Gobierno del Estado de Guanajuato</v>
      </c>
      <c r="B2" s="163"/>
      <c r="C2" s="163"/>
      <c r="D2" s="163"/>
      <c r="E2" s="163"/>
      <c r="F2" s="164"/>
    </row>
    <row r="3" spans="1:7" x14ac:dyDescent="0.25">
      <c r="A3" s="171" t="s">
        <v>496</v>
      </c>
      <c r="B3" s="172"/>
      <c r="C3" s="172"/>
      <c r="D3" s="172"/>
      <c r="E3" s="172"/>
      <c r="F3" s="173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60" zoomScaleNormal="60" workbookViewId="0">
      <selection activeCell="D26" sqref="D2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4" t="s">
        <v>545</v>
      </c>
      <c r="B1" s="174"/>
      <c r="C1" s="174"/>
      <c r="D1" s="174"/>
      <c r="E1" s="174"/>
      <c r="F1" s="174"/>
    </row>
    <row r="2" spans="1:6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4"/>
    </row>
    <row r="3" spans="1:6" x14ac:dyDescent="0.25">
      <c r="A3" s="165" t="s">
        <v>117</v>
      </c>
      <c r="B3" s="166"/>
      <c r="C3" s="166"/>
      <c r="D3" s="166"/>
      <c r="E3" s="166"/>
      <c r="F3" s="167"/>
    </row>
    <row r="4" spans="1:6" x14ac:dyDescent="0.25">
      <c r="A4" s="168" t="str">
        <f>PERIODO_INFORME</f>
        <v>Al 31 de diciembre de 2017 y al 31 de diciembre de 2018 (b)</v>
      </c>
      <c r="B4" s="169"/>
      <c r="C4" s="169"/>
      <c r="D4" s="169"/>
      <c r="E4" s="169"/>
      <c r="F4" s="170"/>
    </row>
    <row r="5" spans="1:6" x14ac:dyDescent="0.25">
      <c r="A5" s="171" t="s">
        <v>118</v>
      </c>
      <c r="B5" s="172"/>
      <c r="C5" s="172"/>
      <c r="D5" s="172"/>
      <c r="E5" s="172"/>
      <c r="F5" s="173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v>1647553.43</v>
      </c>
      <c r="C9" s="60">
        <f>SUM(C10:C16)</f>
        <v>1274453.8799999999</v>
      </c>
      <c r="D9" s="100" t="s">
        <v>54</v>
      </c>
      <c r="E9" s="60">
        <f>SUM(E10:E18)</f>
        <v>317991.73999999993</v>
      </c>
      <c r="F9" s="60">
        <f>SUM(F10:F18)</f>
        <v>338261.07</v>
      </c>
    </row>
    <row r="10" spans="1:6" x14ac:dyDescent="0.25">
      <c r="A10" s="96" t="s">
        <v>4</v>
      </c>
      <c r="B10" s="150">
        <v>3000</v>
      </c>
      <c r="C10" s="60">
        <v>1274453.8999999999</v>
      </c>
      <c r="D10" s="101" t="s">
        <v>55</v>
      </c>
      <c r="E10" s="150">
        <f>+[1]BALANCE!$E$8</f>
        <v>10.47</v>
      </c>
      <c r="F10" s="60">
        <v>0.25</v>
      </c>
    </row>
    <row r="11" spans="1:6" x14ac:dyDescent="0.25">
      <c r="A11" s="96" t="s">
        <v>5</v>
      </c>
      <c r="B11" s="150">
        <v>1644553.43</v>
      </c>
      <c r="C11" s="60">
        <v>-0.02</v>
      </c>
      <c r="D11" s="101" t="s">
        <v>56</v>
      </c>
      <c r="E11" s="150">
        <v>0</v>
      </c>
      <c r="F11" s="60">
        <v>0.3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150">
        <f>+[1]BALANCE!$E$9</f>
        <v>317981.26999999996</v>
      </c>
      <c r="F16" s="60">
        <v>338260.52</v>
      </c>
    </row>
    <row r="17" spans="1:6" x14ac:dyDescent="0.25">
      <c r="A17" s="95" t="s">
        <v>11</v>
      </c>
      <c r="B17" s="60">
        <f>SUM(B18:B24)</f>
        <v>-0.28000000000000003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150">
        <v>-0.28000000000000003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1647553.15</v>
      </c>
      <c r="C47" s="61">
        <f>C9+C17+C25+C31+C38+C41</f>
        <v>1274453.8799999999</v>
      </c>
      <c r="D47" s="99" t="s">
        <v>91</v>
      </c>
      <c r="E47" s="61">
        <f>E9+E19+E23+E26+E27+E31+E38+E42</f>
        <v>317991.73999999993</v>
      </c>
      <c r="F47" s="61">
        <f>F9+F19+F23+F26+F27+F31+F38+F42</f>
        <v>338261.07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50">
        <v>25922</v>
      </c>
      <c r="C51" s="60">
        <v>25922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0">
        <v>24764626.140000001</v>
      </c>
      <c r="C52" s="60">
        <v>22338658.140000001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0">
        <v>4471329.6500000004</v>
      </c>
      <c r="C53" s="60">
        <v>4920732.7700000005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0">
        <v>21146.799999999999</v>
      </c>
      <c r="C54" s="60">
        <v>8732.4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0">
        <v>-4900478.0600000005</v>
      </c>
      <c r="C55" s="60">
        <v>-4018919.54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317991.73999999993</v>
      </c>
      <c r="F59" s="61">
        <f>F47+F57</f>
        <v>338261.07</v>
      </c>
    </row>
    <row r="60" spans="1:6" x14ac:dyDescent="0.25">
      <c r="A60" s="55" t="s">
        <v>50</v>
      </c>
      <c r="B60" s="61">
        <f>SUM(B50:B58)</f>
        <v>24382546.530000001</v>
      </c>
      <c r="C60" s="61">
        <f>SUM(C50:C58)</f>
        <v>23275125.77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26030099.68</v>
      </c>
      <c r="C62" s="61">
        <f>SUM(C47+C60)</f>
        <v>24549579.649999999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25988822.260000002</v>
      </c>
      <c r="F63" s="77">
        <f>SUM(F64:F66)</f>
        <v>23566649.120000001</v>
      </c>
    </row>
    <row r="64" spans="1:6" x14ac:dyDescent="0.25">
      <c r="A64" s="54"/>
      <c r="B64" s="54"/>
      <c r="C64" s="54"/>
      <c r="D64" s="103" t="s">
        <v>103</v>
      </c>
      <c r="E64" s="155">
        <v>1242756.1200000001</v>
      </c>
      <c r="F64" s="77">
        <v>1246550.98</v>
      </c>
    </row>
    <row r="65" spans="1:6" x14ac:dyDescent="0.25">
      <c r="A65" s="54"/>
      <c r="B65" s="54"/>
      <c r="C65" s="54"/>
      <c r="D65" s="41" t="s">
        <v>104</v>
      </c>
      <c r="E65" s="155">
        <v>24746066.140000001</v>
      </c>
      <c r="F65" s="77">
        <v>22320098.140000001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-276714.32000000117</v>
      </c>
      <c r="F68" s="77">
        <f>SUM(F69:F73)</f>
        <v>644669.46</v>
      </c>
    </row>
    <row r="69" spans="1:6" x14ac:dyDescent="0.25">
      <c r="A69" s="12"/>
      <c r="B69" s="54"/>
      <c r="C69" s="54"/>
      <c r="D69" s="103" t="s">
        <v>107</v>
      </c>
      <c r="E69" s="155">
        <v>-679860.03000000119</v>
      </c>
      <c r="F69" s="77">
        <v>-776012.19</v>
      </c>
    </row>
    <row r="70" spans="1:6" x14ac:dyDescent="0.25">
      <c r="A70" s="12"/>
      <c r="B70" s="54"/>
      <c r="C70" s="54"/>
      <c r="D70" s="103" t="s">
        <v>108</v>
      </c>
      <c r="E70" s="77">
        <v>403145.71</v>
      </c>
      <c r="F70" s="77">
        <v>1420681.65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77">
        <v>0</v>
      </c>
      <c r="F76" s="77">
        <v>0</v>
      </c>
    </row>
    <row r="77" spans="1:6" x14ac:dyDescent="0.25">
      <c r="A77" s="12"/>
      <c r="B77" s="54"/>
      <c r="C77" s="54"/>
      <c r="D77" s="100" t="s">
        <v>114</v>
      </c>
      <c r="E77" s="77">
        <v>0</v>
      </c>
      <c r="F77" s="7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25712107.940000001</v>
      </c>
      <c r="F79" s="61">
        <f>F63+F68+F75</f>
        <v>24211318.580000002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26030099.68</v>
      </c>
      <c r="F81" s="61">
        <f>F59+F79</f>
        <v>24549579.650000002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1647553.43</v>
      </c>
      <c r="Q4" s="18">
        <f>'Formato 1'!C9</f>
        <v>1274453.8799999999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3000</v>
      </c>
      <c r="Q5" s="18">
        <f>'Formato 1'!C10</f>
        <v>1274453.8999999999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1644553.43</v>
      </c>
      <c r="Q6" s="18">
        <f>'Formato 1'!C11</f>
        <v>-0.02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-0.28000000000000003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-0.28000000000000003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1647553.15</v>
      </c>
      <c r="Q42" s="18">
        <f>'Formato 1'!C47</f>
        <v>1274453.8799999999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25922</v>
      </c>
      <c r="Q45">
        <f>'Formato 1'!C51</f>
        <v>25922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24764626.140000001</v>
      </c>
      <c r="Q46">
        <f>'Formato 1'!C52</f>
        <v>22338658.140000001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4471329.6500000004</v>
      </c>
      <c r="Q47">
        <f>'Formato 1'!C53</f>
        <v>4920732.7700000005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21146.799999999999</v>
      </c>
      <c r="Q48">
        <f>'Formato 1'!C54</f>
        <v>8732.4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-4900478.0600000005</v>
      </c>
      <c r="Q49">
        <f>'Formato 1'!C55</f>
        <v>-4018919.54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24382546.530000001</v>
      </c>
      <c r="Q53">
        <f>'Formato 1'!C60</f>
        <v>23275125.77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26030099.68</v>
      </c>
      <c r="Q54">
        <f>'Formato 1'!C62</f>
        <v>24549579.649999999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317991.73999999993</v>
      </c>
      <c r="Q57">
        <f>'Formato 1'!F9</f>
        <v>338261.07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10.47</v>
      </c>
      <c r="Q58">
        <f>'Formato 1'!F10</f>
        <v>0.25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0.3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317981.26999999996</v>
      </c>
      <c r="Q64">
        <f>'Formato 1'!F16</f>
        <v>338260.52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317991.73999999993</v>
      </c>
      <c r="Q95">
        <f>'Formato 1'!F47</f>
        <v>338261.07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317991.73999999993</v>
      </c>
      <c r="Q104">
        <f>'Formato 1'!F59</f>
        <v>338261.07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25988822.260000002</v>
      </c>
      <c r="Q106">
        <f>'Formato 1'!F63</f>
        <v>23566649.120000001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1242756.1200000001</v>
      </c>
      <c r="Q107">
        <f>'Formato 1'!F64</f>
        <v>1246550.98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24746066.140000001</v>
      </c>
      <c r="Q108">
        <f>'Formato 1'!F65</f>
        <v>22320098.140000001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-276714.32000000117</v>
      </c>
      <c r="Q110">
        <f>'Formato 1'!F68</f>
        <v>644669.46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-679860.03000000119</v>
      </c>
      <c r="Q111">
        <f>'Formato 1'!F69</f>
        <v>-776012.19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403145.71</v>
      </c>
      <c r="Q112">
        <f>'Formato 1'!F70</f>
        <v>1420681.65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25712107.940000001</v>
      </c>
      <c r="Q119">
        <f>'Formato 1'!F79</f>
        <v>24211318.580000002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26030099.68</v>
      </c>
      <c r="Q120">
        <f>'Formato 1'!F81</f>
        <v>24549579.650000002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70" zoomScaleNormal="70" workbookViewId="0">
      <selection activeCell="E20" sqref="E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6" t="s">
        <v>544</v>
      </c>
      <c r="B1" s="176"/>
      <c r="C1" s="176"/>
      <c r="D1" s="176"/>
      <c r="E1" s="176"/>
      <c r="F1" s="176"/>
      <c r="G1" s="176"/>
      <c r="H1" s="176"/>
    </row>
    <row r="2" spans="1:9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3"/>
      <c r="H2" s="164"/>
    </row>
    <row r="3" spans="1:9" x14ac:dyDescent="0.25">
      <c r="A3" s="165" t="s">
        <v>120</v>
      </c>
      <c r="B3" s="166"/>
      <c r="C3" s="166"/>
      <c r="D3" s="166"/>
      <c r="E3" s="166"/>
      <c r="F3" s="166"/>
      <c r="G3" s="166"/>
      <c r="H3" s="167"/>
    </row>
    <row r="4" spans="1:9" x14ac:dyDescent="0.25">
      <c r="A4" s="168" t="str">
        <f>PERIODO_INFORME</f>
        <v>Al 31 de diciembre de 2017 y al 31 de diciembre de 2018 (b)</v>
      </c>
      <c r="B4" s="169"/>
      <c r="C4" s="169"/>
      <c r="D4" s="169"/>
      <c r="E4" s="169"/>
      <c r="F4" s="169"/>
      <c r="G4" s="169"/>
      <c r="H4" s="170"/>
    </row>
    <row r="5" spans="1:9" x14ac:dyDescent="0.25">
      <c r="A5" s="171" t="s">
        <v>118</v>
      </c>
      <c r="B5" s="172"/>
      <c r="C5" s="172"/>
      <c r="D5" s="172"/>
      <c r="E5" s="172"/>
      <c r="F5" s="172"/>
      <c r="G5" s="172"/>
      <c r="H5" s="173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338261.07</v>
      </c>
      <c r="C18" s="132"/>
      <c r="D18" s="132"/>
      <c r="E18" s="132"/>
      <c r="F18" s="156">
        <v>317991.73999999993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338261.07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317991.73999999993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5" t="s">
        <v>3300</v>
      </c>
      <c r="B33" s="175"/>
      <c r="C33" s="175"/>
      <c r="D33" s="175"/>
      <c r="E33" s="175"/>
      <c r="F33" s="175"/>
      <c r="G33" s="175"/>
      <c r="H33" s="175"/>
    </row>
    <row r="34" spans="1:8" ht="12" customHeight="1" x14ac:dyDescent="0.25">
      <c r="A34" s="175"/>
      <c r="B34" s="175"/>
      <c r="C34" s="175"/>
      <c r="D34" s="175"/>
      <c r="E34" s="175"/>
      <c r="F34" s="175"/>
      <c r="G34" s="175"/>
      <c r="H34" s="175"/>
    </row>
    <row r="35" spans="1:8" ht="12" customHeight="1" x14ac:dyDescent="0.25">
      <c r="A35" s="175"/>
      <c r="B35" s="175"/>
      <c r="C35" s="175"/>
      <c r="D35" s="175"/>
      <c r="E35" s="175"/>
      <c r="F35" s="175"/>
      <c r="G35" s="175"/>
      <c r="H35" s="175"/>
    </row>
    <row r="36" spans="1:8" ht="12" customHeight="1" x14ac:dyDescent="0.25">
      <c r="A36" s="175"/>
      <c r="B36" s="175"/>
      <c r="C36" s="175"/>
      <c r="D36" s="175"/>
      <c r="E36" s="175"/>
      <c r="F36" s="175"/>
      <c r="G36" s="175"/>
      <c r="H36" s="175"/>
    </row>
    <row r="37" spans="1:8" ht="12" customHeight="1" x14ac:dyDescent="0.25">
      <c r="A37" s="175"/>
      <c r="B37" s="175"/>
      <c r="C37" s="175"/>
      <c r="D37" s="175"/>
      <c r="E37" s="175"/>
      <c r="F37" s="175"/>
      <c r="G37" s="175"/>
      <c r="H37" s="17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338261.07</v>
      </c>
      <c r="Q12" s="18"/>
      <c r="R12" s="18"/>
      <c r="S12" s="18"/>
      <c r="T12" s="18">
        <f>'Formato 2'!F18</f>
        <v>317991.73999999993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338261.07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317991.73999999993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tabSelected="1" zoomScale="80" zoomScaleNormal="80" workbookViewId="0">
      <selection activeCell="C10" sqref="C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4" t="s">
        <v>543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1"/>
    </row>
    <row r="2" spans="1:12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2" x14ac:dyDescent="0.25">
      <c r="A3" s="165" t="s">
        <v>146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2" x14ac:dyDescent="0.25">
      <c r="A4" s="168" t="str">
        <f>TRIMESTRE</f>
        <v>Del 1 de enero al 31 de diciembre de 2018 (b)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2" x14ac:dyDescent="0.25">
      <c r="A5" s="165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ADMINISTRACION</cp:lastModifiedBy>
  <cp:lastPrinted>2019-02-14T17:15:10Z</cp:lastPrinted>
  <dcterms:created xsi:type="dcterms:W3CDTF">2017-01-19T17:59:06Z</dcterms:created>
  <dcterms:modified xsi:type="dcterms:W3CDTF">2019-04-09T17:36:49Z</dcterms:modified>
</cp:coreProperties>
</file>